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bookViews>
    <workbookView xWindow="6645" yWindow="65521" windowWidth="16365" windowHeight="9390" tabRatio="720" activeTab="2"/>
  </bookViews>
  <sheets>
    <sheet name="Cover" sheetId="19" r:id="rId1"/>
    <sheet name="Site make up" sheetId="20" r:id="rId2"/>
    <sheet name="FULL RV and CIL AD" sheetId="2" r:id="rId3"/>
  </sheets>
  <definedNames>
    <definedName name="_xlnm.Print_Area" localSheetId="2">'FULL RV and CIL AD'!$A$1:$Z$83</definedName>
  </definedNames>
  <calcPr calcId="152511"/>
</workbook>
</file>

<file path=xl/comments2.xml><?xml version="1.0" encoding="utf-8"?>
<comments xmlns="http://schemas.openxmlformats.org/spreadsheetml/2006/main">
  <authors>
    <author>HDH1</author>
    <author>Simon Drummond-Hay</author>
  </authors>
  <commentList>
    <comment ref="C2" authorId="0">
      <text>
        <r>
          <rPr>
            <b/>
            <sz val="9"/>
            <rFont val="Tahoma"/>
            <family val="2"/>
          </rPr>
          <t>Total Number of Units</t>
        </r>
      </text>
    </comment>
    <comment ref="C3" authorId="0">
      <text>
        <r>
          <rPr>
            <b/>
            <sz val="9"/>
            <rFont val="Tahoma"/>
            <family val="2"/>
          </rPr>
          <t>Overall Affordable %</t>
        </r>
      </text>
    </comment>
    <comment ref="C6" authorId="0">
      <text>
        <r>
          <rPr>
            <b/>
            <sz val="9"/>
            <rFont val="Tahoma"/>
            <family val="2"/>
          </rPr>
          <t>Mix within tenure</t>
        </r>
      </text>
    </comment>
    <comment ref="E6" authorId="0">
      <text>
        <r>
          <rPr>
            <b/>
            <sz val="9"/>
            <rFont val="Tahoma"/>
            <family val="2"/>
          </rPr>
          <t>It may be nessessary to manually adjust to aviod part units</t>
        </r>
      </text>
    </comment>
    <comment ref="D35" authorId="1">
      <text>
        <r>
          <rPr>
            <b/>
            <sz val="9"/>
            <rFont val="Tahoma"/>
            <family val="2"/>
          </rPr>
          <t>Net Developerable area after POS etc</t>
        </r>
      </text>
    </comment>
  </commentList>
</comments>
</file>

<file path=xl/comments3.xml><?xml version="1.0" encoding="utf-8"?>
<comments xmlns="http://schemas.openxmlformats.org/spreadsheetml/2006/main">
  <authors>
    <author>Simon Drummond-Hay</author>
    <author>Simon Drummon-Hay</author>
  </authors>
  <commentList>
    <comment ref="B1" authorId="0">
      <text>
        <r>
          <rPr>
            <b/>
            <sz val="9"/>
            <rFont val="Tahoma"/>
            <family val="2"/>
          </rPr>
          <t>Always insert site name and reference</t>
        </r>
      </text>
    </comment>
    <comment ref="D4" authorId="0">
      <text>
        <r>
          <rPr>
            <b/>
            <sz val="9"/>
            <rFont val="Tahoma"/>
            <family val="2"/>
          </rPr>
          <t>Total Number of market and affordable units on site.  This carried forward from the Make up sheet - but can be altered.</t>
        </r>
      </text>
    </comment>
    <comment ref="B6" authorId="0">
      <text>
        <r>
          <rPr>
            <b/>
            <sz val="9"/>
            <rFont val="Tahoma"/>
            <family val="2"/>
          </rPr>
          <t>Average over whole site - taken from Site make up sheet</t>
        </r>
      </text>
    </comment>
    <comment ref="O6" authorId="0">
      <text>
        <r>
          <rPr>
            <b/>
            <sz val="9"/>
            <rFont val="Tahoma"/>
            <family val="2"/>
          </rPr>
          <t>DO NOT CHANGE THIS BOX</t>
        </r>
      </text>
    </comment>
    <comment ref="F8" authorId="0">
      <text>
        <r>
          <rPr>
            <b/>
            <sz val="9"/>
            <rFont val="Tahoma"/>
            <family val="2"/>
          </rPr>
          <t>May be percentage of Market or a price</t>
        </r>
      </text>
    </comment>
    <comment ref="N8" authorId="0">
      <text>
        <r>
          <rPr>
            <b/>
            <sz val="9"/>
            <rFont val="Tahoma"/>
            <family val="2"/>
          </rPr>
          <t>Includes access ways, ransom strips etc</t>
        </r>
      </text>
    </comment>
    <comment ref="F10" authorId="0">
      <text>
        <r>
          <rPr>
            <b/>
            <sz val="9"/>
            <rFont val="Tahoma"/>
            <family val="2"/>
          </rPr>
          <t>May be percentage of Market or a price</t>
        </r>
      </text>
    </comment>
    <comment ref="Y11" authorId="1">
      <text>
        <r>
          <rPr>
            <b/>
            <sz val="9"/>
            <rFont val="Tahoma"/>
            <family val="2"/>
          </rPr>
          <t>Cost of external works (10% to 20%)</t>
        </r>
      </text>
    </comment>
    <comment ref="F12" authorId="0">
      <text>
        <r>
          <rPr>
            <b/>
            <sz val="9"/>
            <rFont val="Tahoma"/>
            <family val="2"/>
          </rPr>
          <t>May be percentage of Market or a price</t>
        </r>
      </text>
    </comment>
    <comment ref="K13" authorId="0">
      <text>
        <r>
          <rPr>
            <b/>
            <sz val="9"/>
            <rFont val="Tahoma"/>
            <family val="2"/>
          </rPr>
          <t>Fees will vary - large este schemes will be substantially less than 10% but complicated schemes more</t>
        </r>
      </text>
    </comment>
    <comment ref="F14" authorId="0">
      <text>
        <r>
          <rPr>
            <b/>
            <sz val="9"/>
            <rFont val="Tahoma"/>
            <family val="2"/>
          </rPr>
          <t>NOTE - AS £/m2</t>
        </r>
      </text>
    </comment>
    <comment ref="F15" authorId="0">
      <text>
        <r>
          <rPr>
            <b/>
            <sz val="9"/>
            <rFont val="Tahoma"/>
            <family val="2"/>
          </rPr>
          <t>NOTE - AS £/m2</t>
        </r>
      </text>
    </comment>
    <comment ref="F16" authorId="0">
      <text>
        <r>
          <rPr>
            <b/>
            <sz val="9"/>
            <rFont val="Tahoma"/>
            <family val="2"/>
          </rPr>
          <t>NOTE - AS £/m2</t>
        </r>
      </text>
    </comment>
    <comment ref="B18" authorId="0">
      <text>
        <r>
          <rPr>
            <b/>
            <sz val="9"/>
            <rFont val="Tahoma"/>
            <family val="2"/>
          </rPr>
          <t>Net area and Gross area may be the same - particularly on smaller and urban sites.  This carried forward from the Make up sheet - but can be altered.</t>
        </r>
      </text>
    </comment>
    <comment ref="G18" authorId="0">
      <text>
        <r>
          <rPr>
            <b/>
            <sz val="9"/>
            <rFont val="Tahoma"/>
            <family val="2"/>
          </rPr>
          <t>Gross development value - all the income from the scheme</t>
        </r>
      </text>
    </comment>
    <comment ref="B19" authorId="0">
      <text>
        <r>
          <rPr>
            <b/>
            <sz val="9"/>
            <rFont val="Tahoma"/>
            <family val="2"/>
          </rPr>
          <t>Net area and Gross area may be the same - particularly on smaller and urban sites</t>
        </r>
      </text>
    </comment>
    <comment ref="M21" authorId="0">
      <text>
        <r>
          <rPr>
            <b/>
            <sz val="9"/>
            <rFont val="Tahoma"/>
            <family val="2"/>
          </rPr>
          <t>2.5% for simple Greenfield or 5% on Brownfield.  Conversions and difficult sites could be 7.5% to 10%</t>
        </r>
      </text>
    </comment>
    <comment ref="B22" authorId="0">
      <text>
        <r>
          <rPr>
            <b/>
            <sz val="9"/>
            <rFont val="Tahoma"/>
            <family val="2"/>
          </rPr>
          <t>Pre 2007 was typically 1 per week - now unlikely to be more than 35 per year - excepted on flatted schemes</t>
        </r>
      </text>
    </comment>
    <comment ref="M26" authorId="0">
      <text>
        <r>
          <rPr>
            <b/>
            <sz val="9"/>
            <rFont val="Tahoma"/>
            <family val="2"/>
          </rPr>
          <t>Will depend very much on developer's equity and track record</t>
        </r>
      </text>
    </comment>
    <comment ref="E27" authorId="0">
      <text>
        <r>
          <rPr>
            <b/>
            <sz val="9"/>
            <rFont val="Tahoma"/>
            <family val="2"/>
          </rPr>
          <t>Land Price - consider net or gross</t>
        </r>
      </text>
    </comment>
    <comment ref="B28" authorId="0">
      <text>
        <r>
          <rPr>
            <b/>
            <sz val="9"/>
            <rFont val="Tahoma"/>
            <family val="2"/>
          </rPr>
          <t>Ammount to provide competative return to owner</t>
        </r>
      </text>
    </comment>
    <comment ref="M35" authorId="0">
      <text>
        <r>
          <rPr>
            <b/>
            <sz val="9"/>
            <rFont val="Tahoma"/>
            <family val="2"/>
          </rPr>
          <t>One or other - never both</t>
        </r>
      </text>
    </comment>
    <comment ref="A41" authorId="0">
      <text>
        <r>
          <rPr>
            <b/>
            <sz val="9"/>
            <rFont val="Tahoma"/>
            <family val="2"/>
          </rPr>
          <t>Fill in by reference to B22</t>
        </r>
      </text>
    </comment>
  </commentList>
</comments>
</file>

<file path=xl/sharedStrings.xml><?xml version="1.0" encoding="utf-8"?>
<sst xmlns="http://schemas.openxmlformats.org/spreadsheetml/2006/main" count="232" uniqueCount="148">
  <si>
    <t>INCOME</t>
  </si>
  <si>
    <t>Av Size</t>
  </si>
  <si>
    <t>%</t>
  </si>
  <si>
    <t>Number</t>
  </si>
  <si>
    <t>Price</t>
  </si>
  <si>
    <t>GDV</t>
  </si>
  <si>
    <t>GIA</t>
  </si>
  <si>
    <t>DEVELOPMENT COSTS</t>
  </si>
  <si>
    <t>Planning fee calc</t>
  </si>
  <si>
    <t>m2</t>
  </si>
  <si>
    <t>£/m2</t>
  </si>
  <si>
    <t>£</t>
  </si>
  <si>
    <t>dwgs</t>
  </si>
  <si>
    <t>rate</t>
  </si>
  <si>
    <t>LAND</t>
  </si>
  <si>
    <t>/unit or m2</t>
  </si>
  <si>
    <t>Total</t>
  </si>
  <si>
    <t>No dwgs</t>
  </si>
  <si>
    <t>Market Housing</t>
  </si>
  <si>
    <t>Land</t>
  </si>
  <si>
    <t>No dwgs under 50</t>
  </si>
  <si>
    <t>No dwgs over 50</t>
  </si>
  <si>
    <t>Shared Ownership</t>
  </si>
  <si>
    <t>Stamp Duty</t>
  </si>
  <si>
    <t>Affordable Rent</t>
  </si>
  <si>
    <t>Legals Acquisition</t>
  </si>
  <si>
    <t>Social Rent</t>
  </si>
  <si>
    <t>PLANNING</t>
  </si>
  <si>
    <t>Planning Fee</t>
  </si>
  <si>
    <t>Land payment</t>
  </si>
  <si>
    <t>Grant and Subsidy</t>
  </si>
  <si>
    <t>Architects</t>
  </si>
  <si>
    <t>QS / PM</t>
  </si>
  <si>
    <t>Planning Consultants</t>
  </si>
  <si>
    <t>Other Professional</t>
  </si>
  <si>
    <t>ha</t>
  </si>
  <si>
    <t>/ha</t>
  </si>
  <si>
    <t>above</t>
  </si>
  <si>
    <t>CONSTRUCTION</t>
  </si>
  <si>
    <t>Sales per Quarter</t>
  </si>
  <si>
    <t>Build Cost - BCIS Based</t>
  </si>
  <si>
    <t>Unit Build Time</t>
  </si>
  <si>
    <t>Quarters</t>
  </si>
  <si>
    <t>s106 / CIL</t>
  </si>
  <si>
    <t>Contingency</t>
  </si>
  <si>
    <t>Whole Site</t>
  </si>
  <si>
    <t>Abnormals</t>
  </si>
  <si>
    <t>Residual Land Value</t>
  </si>
  <si>
    <t>RUN Residual MACRO ctrl+r</t>
  </si>
  <si>
    <t>Alternative Use Value</t>
  </si>
  <si>
    <t>Closing balance =</t>
  </si>
  <si>
    <t>FINANCE</t>
  </si>
  <si>
    <t>Uplift</t>
  </si>
  <si>
    <t>Fees</t>
  </si>
  <si>
    <t>Plus /ha</t>
  </si>
  <si>
    <t>Interest</t>
  </si>
  <si>
    <t>Legal and Valuation</t>
  </si>
  <si>
    <t>Check on phasing dwgs nos</t>
  </si>
  <si>
    <t>SALES</t>
  </si>
  <si>
    <t>Agents</t>
  </si>
  <si>
    <t>Legals</t>
  </si>
  <si>
    <t>Misc.</t>
  </si>
  <si>
    <t>Developers Profit</t>
  </si>
  <si>
    <t>% of costs (before interest)</t>
  </si>
  <si>
    <t>RESIDUAL CASH FLOW FOR INTEREST</t>
  </si>
  <si>
    <t>Year 1</t>
  </si>
  <si>
    <t>Year 2</t>
  </si>
  <si>
    <t>Year 3</t>
  </si>
  <si>
    <t>Year 4</t>
  </si>
  <si>
    <t>Year 5</t>
  </si>
  <si>
    <t>Year 6</t>
  </si>
  <si>
    <t>Q1</t>
  </si>
  <si>
    <t>Q2</t>
  </si>
  <si>
    <t>Q3</t>
  </si>
  <si>
    <t>Q4</t>
  </si>
  <si>
    <t>UNITS Started</t>
  </si>
  <si>
    <t>EXPENDITURE</t>
  </si>
  <si>
    <t>QS</t>
  </si>
  <si>
    <t>Build Cost - BCIS Base</t>
  </si>
  <si>
    <t>s106/CIL</t>
  </si>
  <si>
    <t>Finance Fees</t>
  </si>
  <si>
    <t>COSTS BEFORE LAND INT AND PROFIT</t>
  </si>
  <si>
    <t>For Residual Valuation</t>
  </si>
  <si>
    <t>Int calc</t>
  </si>
  <si>
    <t>Cash Flow</t>
  </si>
  <si>
    <t>Opening Balance</t>
  </si>
  <si>
    <t>Closing Balance</t>
  </si>
  <si>
    <t>Viability Threshold</t>
  </si>
  <si>
    <t>% of GDV</t>
  </si>
  <si>
    <t>Profit on GDV</t>
  </si>
  <si>
    <t>Profit on Costs</t>
  </si>
  <si>
    <t>£/ Unit (all)</t>
  </si>
  <si>
    <t xml:space="preserve">Post CIL s106 </t>
  </si>
  <si>
    <t>Planning app fee</t>
  </si>
  <si>
    <t>Easements etc.</t>
  </si>
  <si>
    <t>Stamp duty calc - Residual</t>
  </si>
  <si>
    <t>SITE NAME</t>
  </si>
  <si>
    <t>Build Cost</t>
  </si>
  <si>
    <t>BCIS</t>
  </si>
  <si>
    <t>CfSH</t>
  </si>
  <si>
    <t xml:space="preserve">Energy </t>
  </si>
  <si>
    <t>Over-extra 1</t>
  </si>
  <si>
    <t>Over-extra 2</t>
  </si>
  <si>
    <t>Over-extra 3</t>
  </si>
  <si>
    <t>Over-extra 4</t>
  </si>
  <si>
    <t>/m2</t>
  </si>
  <si>
    <t>Private and Confidential.  NOT FOR CIRCULATION OR DUPLICATION.</t>
  </si>
  <si>
    <t>Units</t>
  </si>
  <si>
    <t>Area</t>
  </si>
  <si>
    <t>Density</t>
  </si>
  <si>
    <t>Developed</t>
  </si>
  <si>
    <t>Total Cost</t>
  </si>
  <si>
    <t>Rate</t>
  </si>
  <si>
    <t>Units/ha</t>
  </si>
  <si>
    <t>m2/ha</t>
  </si>
  <si>
    <t>Beds</t>
  </si>
  <si>
    <t>No</t>
  </si>
  <si>
    <t>COST</t>
  </si>
  <si>
    <t>Name</t>
  </si>
  <si>
    <t>SITE AREA - Net</t>
  </si>
  <si>
    <t>SITE AREA - Gross</t>
  </si>
  <si>
    <t>Per ha NET</t>
  </si>
  <si>
    <t>Per ha GROSS</t>
  </si>
  <si>
    <t>CIL</t>
  </si>
  <si>
    <t>Infrastructure</t>
  </si>
  <si>
    <t>ENTER SITE NAME</t>
  </si>
  <si>
    <t>COPYRIGHT:  2014 RS Drummond-Hay MRICS ACIH / HDH Planning and Development Ltd</t>
  </si>
  <si>
    <t>HDH Planning and Development Ltd, Clapham Woods Farm, Keasden, Nr Clapham, Lancaster.  LA2 8ET (015242 51831)</t>
  </si>
  <si>
    <t>Single Site Viability Model v2</t>
  </si>
  <si>
    <t>Ave GIA</t>
  </si>
  <si>
    <t>Construction Costs</t>
  </si>
  <si>
    <t>Value</t>
  </si>
  <si>
    <t>£/unit</t>
  </si>
  <si>
    <t>Average</t>
  </si>
  <si>
    <t>Scheme</t>
  </si>
  <si>
    <t>UNITS</t>
  </si>
  <si>
    <t>Affordable</t>
  </si>
  <si>
    <t>Market</t>
  </si>
  <si>
    <t>Flat</t>
  </si>
  <si>
    <t>Terrace</t>
  </si>
  <si>
    <t>Semi</t>
  </si>
  <si>
    <t>Det</t>
  </si>
  <si>
    <t>MIX OF HOUSING</t>
  </si>
  <si>
    <t>Mix</t>
  </si>
  <si>
    <t>Rounded</t>
  </si>
  <si>
    <t>MODELLED SCHEME</t>
  </si>
  <si>
    <t>Common Area</t>
  </si>
  <si>
    <t xml:space="preserve">Market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</si>
</sst>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0_ ;\-#,##0\ "/>
    <numFmt numFmtId="166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9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1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/>
    <xf numFmtId="3" fontId="1" fillId="0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/>
    <xf numFmtId="10" fontId="1" fillId="0" borderId="4" xfId="0" applyNumberFormat="1" applyFont="1" applyFill="1" applyBorder="1" applyAlignment="1">
      <alignment horizontal="center"/>
    </xf>
    <xf numFmtId="0" fontId="1" fillId="0" borderId="5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 quotePrefix="1">
      <alignment horizontal="right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/>
    <xf numFmtId="0" fontId="1" fillId="0" borderId="0" xfId="0" applyFont="1" applyFill="1" applyBorder="1"/>
    <xf numFmtId="3" fontId="1" fillId="0" borderId="11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left"/>
    </xf>
    <xf numFmtId="9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1" fillId="0" borderId="0" xfId="0" applyFont="1" applyBorder="1" quotePrefix="1"/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11" xfId="0" applyFont="1" applyBorder="1"/>
    <xf numFmtId="0" fontId="2" fillId="0" borderId="10" xfId="0" applyFont="1" applyBorder="1" applyAlignment="1">
      <alignment horizontal="left"/>
    </xf>
    <xf numFmtId="0" fontId="1" fillId="0" borderId="17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3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8" xfId="0" applyFont="1" applyBorder="1"/>
    <xf numFmtId="3" fontId="1" fillId="0" borderId="11" xfId="0" applyNumberFormat="1" applyFont="1" applyBorder="1" applyAlignment="1" applyProtection="1">
      <alignment horizontal="center" vertical="top"/>
      <protection locked="0"/>
    </xf>
    <xf numFmtId="3" fontId="1" fillId="0" borderId="0" xfId="0" applyNumberFormat="1" applyFont="1" applyBorder="1" applyAlignment="1" applyProtection="1">
      <alignment horizontal="center" vertical="top"/>
      <protection locked="0"/>
    </xf>
    <xf numFmtId="3" fontId="1" fillId="0" borderId="20" xfId="0" applyNumberFormat="1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2" borderId="11" xfId="0" applyNumberFormat="1" applyFont="1" applyFill="1" applyBorder="1" applyAlignment="1" applyProtection="1">
      <alignment horizontal="center" vertical="top"/>
      <protection locked="0"/>
    </xf>
    <xf numFmtId="3" fontId="1" fillId="2" borderId="0" xfId="0" applyNumberFormat="1" applyFont="1" applyFill="1" applyBorder="1" applyAlignment="1" applyProtection="1">
      <alignment horizontal="center" vertical="top"/>
      <protection locked="0"/>
    </xf>
    <xf numFmtId="3" fontId="1" fillId="2" borderId="20" xfId="0" applyNumberFormat="1" applyFont="1" applyFill="1" applyBorder="1" applyAlignment="1" applyProtection="1">
      <alignment horizontal="center" vertical="top"/>
      <protection locked="0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3" fontId="1" fillId="0" borderId="9" xfId="0" applyNumberFormat="1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>
      <alignment horizontal="right"/>
    </xf>
    <xf numFmtId="3" fontId="2" fillId="0" borderId="22" xfId="0" applyNumberFormat="1" applyFont="1" applyBorder="1" applyAlignment="1" applyProtection="1">
      <alignment horizontal="center" vertical="top"/>
      <protection locked="0"/>
    </xf>
    <xf numFmtId="3" fontId="2" fillId="0" borderId="1" xfId="0" applyNumberFormat="1" applyFont="1" applyBorder="1" applyAlignment="1" applyProtection="1">
      <alignment horizontal="center" vertical="top"/>
      <protection locked="0"/>
    </xf>
    <xf numFmtId="3" fontId="2" fillId="0" borderId="2" xfId="0" applyNumberFormat="1" applyFont="1" applyBorder="1" applyAlignment="1" applyProtection="1">
      <alignment horizontal="center" vertical="top"/>
      <protection locked="0"/>
    </xf>
    <xf numFmtId="3" fontId="2" fillId="0" borderId="23" xfId="0" applyNumberFormat="1" applyFont="1" applyBorder="1" applyAlignment="1" applyProtection="1">
      <alignment horizontal="center" vertical="top"/>
      <protection locked="0"/>
    </xf>
    <xf numFmtId="3" fontId="2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 quotePrefix="1">
      <alignment horizontal="center" vertical="top"/>
      <protection locked="0"/>
    </xf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 applyAlignment="1" applyProtection="1">
      <alignment horizontal="center" vertical="top"/>
      <protection locked="0"/>
    </xf>
    <xf numFmtId="3" fontId="2" fillId="0" borderId="25" xfId="0" applyNumberFormat="1" applyFont="1" applyBorder="1" applyAlignment="1" applyProtection="1">
      <alignment horizontal="center" vertical="top"/>
      <protection locked="0"/>
    </xf>
    <xf numFmtId="3" fontId="2" fillId="0" borderId="27" xfId="0" applyNumberFormat="1" applyFont="1" applyBorder="1" applyAlignment="1" applyProtection="1">
      <alignment horizontal="center" vertical="top"/>
      <protection locked="0"/>
    </xf>
    <xf numFmtId="3" fontId="2" fillId="0" borderId="28" xfId="0" applyNumberFormat="1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11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20" xfId="0" applyNumberFormat="1" applyFont="1" applyBorder="1" applyAlignment="1" applyProtection="1">
      <alignment horizontal="center"/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3" fontId="4" fillId="0" borderId="11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3" fontId="4" fillId="0" borderId="20" xfId="0" applyNumberFormat="1" applyFont="1" applyBorder="1" applyAlignment="1" applyProtection="1">
      <alignment horizontal="center"/>
      <protection locked="0"/>
    </xf>
    <xf numFmtId="3" fontId="1" fillId="0" borderId="6" xfId="0" applyNumberFormat="1" applyFont="1" applyBorder="1" applyAlignment="1" applyProtection="1">
      <alignment horizontal="center"/>
      <protection locked="0"/>
    </xf>
    <xf numFmtId="3" fontId="1" fillId="0" borderId="7" xfId="0" applyNumberFormat="1" applyFont="1" applyBorder="1" applyAlignment="1" applyProtection="1">
      <alignment horizontal="center"/>
      <protection locked="0"/>
    </xf>
    <xf numFmtId="3" fontId="1" fillId="0" borderId="1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/>
    <xf numFmtId="0" fontId="2" fillId="0" borderId="1" xfId="0" applyFont="1" applyFill="1" applyBorder="1" applyAlignment="1">
      <alignment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3" xfId="0" applyFont="1" applyBorder="1"/>
    <xf numFmtId="0" fontId="5" fillId="0" borderId="7" xfId="0" applyFont="1" applyBorder="1"/>
    <xf numFmtId="0" fontId="5" fillId="0" borderId="13" xfId="0" applyFont="1" applyBorder="1"/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/>
    <xf numFmtId="3" fontId="5" fillId="0" borderId="11" xfId="0" applyNumberFormat="1" applyFont="1" applyBorder="1" applyAlignment="1">
      <alignment horizontal="center"/>
    </xf>
    <xf numFmtId="0" fontId="2" fillId="2" borderId="22" xfId="0" applyFont="1" applyFill="1" applyBorder="1" applyAlignment="1">
      <alignment horizontal="left"/>
    </xf>
    <xf numFmtId="3" fontId="2" fillId="3" borderId="2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0" xfId="0" applyFill="1" applyBorder="1" applyAlignment="1">
      <alignment horizontal="justify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20" xfId="0" applyFont="1" applyBorder="1"/>
    <xf numFmtId="3" fontId="1" fillId="0" borderId="0" xfId="0" applyNumberFormat="1" applyFont="1" applyBorder="1"/>
    <xf numFmtId="0" fontId="0" fillId="0" borderId="0" xfId="0" applyBorder="1"/>
    <xf numFmtId="0" fontId="0" fillId="0" borderId="17" xfId="0" applyBorder="1"/>
    <xf numFmtId="3" fontId="1" fillId="0" borderId="6" xfId="0" applyNumberFormat="1" applyFont="1" applyBorder="1"/>
    <xf numFmtId="3" fontId="1" fillId="0" borderId="12" xfId="0" applyNumberFormat="1" applyFont="1" applyBorder="1"/>
    <xf numFmtId="3" fontId="1" fillId="0" borderId="9" xfId="0" applyNumberFormat="1" applyFont="1" applyBorder="1" applyAlignment="1" applyProtection="1">
      <alignment horizontal="center"/>
      <protection locked="0"/>
    </xf>
    <xf numFmtId="3" fontId="1" fillId="4" borderId="9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/>
    <xf numFmtId="3" fontId="4" fillId="0" borderId="9" xfId="0" applyNumberFormat="1" applyFont="1" applyBorder="1" applyAlignment="1" applyProtection="1">
      <alignment horizontal="center"/>
      <protection locked="0"/>
    </xf>
    <xf numFmtId="3" fontId="1" fillId="0" borderId="33" xfId="0" applyNumberFormat="1" applyFont="1" applyBorder="1" applyAlignment="1" applyProtection="1">
      <alignment horizontal="center"/>
      <protection locked="0"/>
    </xf>
    <xf numFmtId="0" fontId="1" fillId="0" borderId="34" xfId="0" applyFont="1" applyBorder="1"/>
    <xf numFmtId="3" fontId="1" fillId="0" borderId="34" xfId="0" applyNumberFormat="1" applyFont="1" applyBorder="1" applyAlignment="1" applyProtection="1">
      <alignment horizontal="center"/>
      <protection locked="0"/>
    </xf>
    <xf numFmtId="3" fontId="1" fillId="0" borderId="17" xfId="0" applyNumberFormat="1" applyFont="1" applyBorder="1" applyAlignment="1" applyProtection="1">
      <alignment horizontal="center"/>
      <protection locked="0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3" fontId="1" fillId="5" borderId="9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right"/>
    </xf>
    <xf numFmtId="3" fontId="2" fillId="3" borderId="16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37" xfId="0" applyNumberFormat="1" applyFont="1" applyBorder="1" applyAlignment="1">
      <alignment horizontal="right"/>
    </xf>
    <xf numFmtId="3" fontId="1" fillId="3" borderId="32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3" fontId="2" fillId="5" borderId="9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right"/>
    </xf>
    <xf numFmtId="3" fontId="2" fillId="4" borderId="36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9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3" borderId="20" xfId="0" applyNumberFormat="1" applyFont="1" applyFill="1" applyBorder="1" applyAlignment="1">
      <alignment horizontal="right"/>
    </xf>
    <xf numFmtId="9" fontId="1" fillId="0" borderId="0" xfId="15" applyFont="1" applyBorder="1" applyAlignment="1">
      <alignment horizontal="right"/>
    </xf>
    <xf numFmtId="3" fontId="5" fillId="0" borderId="20" xfId="15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6" borderId="16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9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10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6" fontId="1" fillId="2" borderId="0" xfId="15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10" fontId="1" fillId="2" borderId="17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9" fontId="1" fillId="2" borderId="0" xfId="0" applyNumberFormat="1" applyFont="1" applyFill="1" applyBorder="1" applyAlignment="1">
      <alignment horizontal="center"/>
    </xf>
    <xf numFmtId="165" fontId="1" fillId="2" borderId="0" xfId="18" applyNumberFormat="1" applyFont="1" applyFill="1" applyBorder="1" applyAlignment="1">
      <alignment horizontal="center"/>
    </xf>
    <xf numFmtId="3" fontId="2" fillId="0" borderId="14" xfId="0" applyNumberFormat="1" applyFont="1" applyBorder="1"/>
    <xf numFmtId="0" fontId="1" fillId="0" borderId="13" xfId="0" applyFont="1" applyBorder="1" applyAlignment="1" quotePrefix="1">
      <alignment horizontal="right"/>
    </xf>
    <xf numFmtId="3" fontId="1" fillId="2" borderId="20" xfId="0" applyNumberFormat="1" applyFont="1" applyFill="1" applyBorder="1"/>
    <xf numFmtId="3" fontId="1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1" fillId="0" borderId="36" xfId="0" applyFont="1" applyBorder="1"/>
    <xf numFmtId="4" fontId="1" fillId="2" borderId="17" xfId="0" applyNumberFormat="1" applyFont="1" applyFill="1" applyBorder="1"/>
    <xf numFmtId="3" fontId="2" fillId="3" borderId="37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9" fontId="5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3" fontId="1" fillId="0" borderId="20" xfId="0" applyNumberFormat="1" applyFont="1" applyFill="1" applyBorder="1"/>
    <xf numFmtId="9" fontId="1" fillId="2" borderId="0" xfId="0" applyNumberFormat="1" applyFont="1" applyFill="1" applyBorder="1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 applyProtection="1">
      <alignment horizontal="center" vertical="top"/>
      <protection locked="0"/>
    </xf>
    <xf numFmtId="3" fontId="1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>
      <alignment horizontal="center"/>
    </xf>
    <xf numFmtId="3" fontId="1" fillId="0" borderId="29" xfId="0" applyNumberFormat="1" applyFont="1" applyFill="1" applyBorder="1"/>
    <xf numFmtId="0" fontId="0" fillId="2" borderId="39" xfId="0" applyFill="1" applyBorder="1" applyAlignment="1">
      <alignment horizontal="center" vertical="center" wrapText="1"/>
    </xf>
    <xf numFmtId="0" fontId="0" fillId="0" borderId="0" xfId="0" applyFill="1"/>
    <xf numFmtId="0" fontId="6" fillId="0" borderId="32" xfId="0" applyFont="1" applyBorder="1"/>
    <xf numFmtId="0" fontId="0" fillId="0" borderId="32" xfId="0" applyBorder="1"/>
    <xf numFmtId="0" fontId="0" fillId="0" borderId="32" xfId="0" applyFont="1" applyBorder="1"/>
    <xf numFmtId="0" fontId="0" fillId="0" borderId="32" xfId="0" applyFont="1" applyFill="1" applyBorder="1"/>
    <xf numFmtId="4" fontId="0" fillId="0" borderId="32" xfId="0" applyNumberFormat="1" applyFont="1" applyFill="1" applyBorder="1"/>
    <xf numFmtId="3" fontId="0" fillId="0" borderId="32" xfId="0" applyNumberFormat="1" applyFont="1" applyBorder="1"/>
    <xf numFmtId="3" fontId="0" fillId="0" borderId="32" xfId="0" applyNumberFormat="1" applyFont="1" applyFill="1" applyBorder="1"/>
    <xf numFmtId="3" fontId="0" fillId="0" borderId="32" xfId="0" applyNumberFormat="1" applyBorder="1"/>
    <xf numFmtId="10" fontId="0" fillId="0" borderId="0" xfId="0" applyNumberFormat="1" applyFill="1"/>
    <xf numFmtId="0" fontId="6" fillId="5" borderId="0" xfId="0" applyFont="1" applyFill="1"/>
    <xf numFmtId="0" fontId="0" fillId="0" borderId="0" xfId="0" applyFill="1" applyBorder="1"/>
    <xf numFmtId="0" fontId="0" fillId="0" borderId="8" xfId="0" applyBorder="1"/>
    <xf numFmtId="9" fontId="0" fillId="7" borderId="0" xfId="0" applyNumberFormat="1" applyFill="1" applyBorder="1"/>
    <xf numFmtId="0" fontId="0" fillId="0" borderId="9" xfId="0" applyBorder="1"/>
    <xf numFmtId="0" fontId="6" fillId="0" borderId="8" xfId="0" applyFont="1" applyBorder="1"/>
    <xf numFmtId="0" fontId="0" fillId="0" borderId="0" xfId="0" applyBorder="1" applyAlignment="1">
      <alignment horizontal="right" vertical="center"/>
    </xf>
    <xf numFmtId="0" fontId="0" fillId="7" borderId="0" xfId="0" applyFill="1" applyBorder="1"/>
    <xf numFmtId="4" fontId="0" fillId="0" borderId="0" xfId="0" applyNumberFormat="1" applyBorder="1"/>
    <xf numFmtId="3" fontId="0" fillId="0" borderId="0" xfId="0" applyNumberFormat="1" applyBorder="1"/>
    <xf numFmtId="9" fontId="6" fillId="0" borderId="0" xfId="0" applyNumberFormat="1" applyFont="1" applyBorder="1"/>
    <xf numFmtId="0" fontId="0" fillId="0" borderId="10" xfId="0" applyBorder="1"/>
    <xf numFmtId="4" fontId="6" fillId="0" borderId="17" xfId="0" applyNumberFormat="1" applyFont="1" applyBorder="1"/>
    <xf numFmtId="0" fontId="0" fillId="0" borderId="3" xfId="0" applyFill="1" applyBorder="1"/>
    <xf numFmtId="0" fontId="0" fillId="0" borderId="4" xfId="0" applyFill="1" applyBorder="1"/>
    <xf numFmtId="0" fontId="6" fillId="7" borderId="4" xfId="0" applyFont="1" applyFill="1" applyBorder="1"/>
    <xf numFmtId="0" fontId="0" fillId="0" borderId="5" xfId="0" applyFill="1" applyBorder="1"/>
    <xf numFmtId="0" fontId="0" fillId="0" borderId="9" xfId="0" applyBorder="1" applyAlignment="1">
      <alignment horizontal="right" vertical="center"/>
    </xf>
    <xf numFmtId="3" fontId="0" fillId="0" borderId="9" xfId="0" applyNumberFormat="1" applyBorder="1"/>
    <xf numFmtId="3" fontId="6" fillId="0" borderId="36" xfId="0" applyNumberFormat="1" applyFont="1" applyBorder="1"/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0" fontId="6" fillId="0" borderId="8" xfId="0" applyFont="1" applyFill="1" applyBorder="1" applyAlignment="1">
      <alignment horizontal="left"/>
    </xf>
    <xf numFmtId="0" fontId="6" fillId="0" borderId="0" xfId="0" applyFont="1" applyFill="1" applyBorder="1"/>
    <xf numFmtId="4" fontId="6" fillId="7" borderId="0" xfId="0" applyNumberFormat="1" applyFont="1" applyFill="1" applyBorder="1"/>
    <xf numFmtId="3" fontId="6" fillId="0" borderId="0" xfId="0" applyNumberFormat="1" applyFont="1" applyFill="1" applyBorder="1"/>
    <xf numFmtId="3" fontId="0" fillId="0" borderId="0" xfId="0" applyNumberFormat="1" applyFill="1" applyBorder="1"/>
    <xf numFmtId="3" fontId="6" fillId="0" borderId="9" xfId="0" applyNumberFormat="1" applyFont="1" applyFill="1" applyBorder="1"/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4" fontId="0" fillId="0" borderId="0" xfId="0" applyNumberFormat="1" applyFill="1" applyBorder="1"/>
    <xf numFmtId="3" fontId="0" fillId="0" borderId="9" xfId="0" applyNumberFormat="1" applyFill="1" applyBorder="1"/>
    <xf numFmtId="0" fontId="0" fillId="0" borderId="8" xfId="0" applyFont="1" applyBorder="1"/>
    <xf numFmtId="0" fontId="0" fillId="0" borderId="0" xfId="0" applyFont="1" applyBorder="1"/>
    <xf numFmtId="3" fontId="6" fillId="0" borderId="0" xfId="0" applyNumberFormat="1" applyFont="1" applyBorder="1"/>
    <xf numFmtId="4" fontId="0" fillId="7" borderId="0" xfId="0" applyNumberFormat="1" applyFill="1" applyBorder="1"/>
    <xf numFmtId="3" fontId="0" fillId="7" borderId="0" xfId="0" applyNumberFormat="1" applyFill="1" applyBorder="1"/>
    <xf numFmtId="9" fontId="0" fillId="0" borderId="0" xfId="0" applyNumberFormat="1" applyFill="1" applyBorder="1"/>
    <xf numFmtId="0" fontId="0" fillId="0" borderId="0" xfId="0" applyFont="1" applyFill="1" applyBorder="1"/>
    <xf numFmtId="0" fontId="0" fillId="0" borderId="10" xfId="0" applyFont="1" applyBorder="1"/>
    <xf numFmtId="0" fontId="0" fillId="0" borderId="17" xfId="0" applyFont="1" applyBorder="1"/>
    <xf numFmtId="3" fontId="6" fillId="0" borderId="17" xfId="0" applyNumberFormat="1" applyFont="1" applyFill="1" applyBorder="1"/>
    <xf numFmtId="4" fontId="0" fillId="0" borderId="17" xfId="0" applyNumberFormat="1" applyFill="1" applyBorder="1"/>
    <xf numFmtId="3" fontId="0" fillId="0" borderId="17" xfId="0" applyNumberFormat="1" applyFill="1" applyBorder="1"/>
    <xf numFmtId="9" fontId="0" fillId="0" borderId="17" xfId="0" applyNumberFormat="1" applyFill="1" applyBorder="1"/>
    <xf numFmtId="0" fontId="0" fillId="0" borderId="17" xfId="0" applyFill="1" applyBorder="1"/>
    <xf numFmtId="3" fontId="0" fillId="0" borderId="36" xfId="0" applyNumberFormat="1" applyFill="1" applyBorder="1"/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strike val="0"/>
        <color rgb="FFFF0000"/>
      </font>
      <fill>
        <patternFill>
          <bgColor theme="5" tint="0.3999499976634979"/>
        </patternFill>
      </fill>
      <border/>
    </dxf>
    <dxf>
      <font>
        <strike val="0"/>
        <color rgb="FFFF0000"/>
      </font>
      <fill>
        <patternFill>
          <bgColor theme="5" tint="0.3999499976634979"/>
        </patternFill>
      </fill>
      <border/>
    </dxf>
    <dxf>
      <font>
        <strike val="0"/>
        <color rgb="FFFF0000"/>
      </font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15"/>
  <sheetViews>
    <sheetView view="pageLayout" workbookViewId="0" topLeftCell="A1">
      <selection activeCell="A4" sqref="A4"/>
    </sheetView>
  </sheetViews>
  <sheetFormatPr defaultColWidth="9.140625" defaultRowHeight="15"/>
  <cols>
    <col min="1" max="1" width="124.140625" style="0" customWidth="1"/>
  </cols>
  <sheetData>
    <row r="1" ht="15">
      <c r="A1" s="110"/>
    </row>
    <row r="2" ht="15">
      <c r="A2" s="111"/>
    </row>
    <row r="3" ht="15">
      <c r="A3" s="110"/>
    </row>
    <row r="4" s="119" customFormat="1" ht="15">
      <c r="A4" s="118"/>
    </row>
    <row r="5" ht="15">
      <c r="A5" s="111"/>
    </row>
    <row r="6" ht="15">
      <c r="A6" s="117" t="s">
        <v>125</v>
      </c>
    </row>
    <row r="8" ht="76.15" customHeight="1">
      <c r="A8" s="113" t="s">
        <v>128</v>
      </c>
    </row>
    <row r="11" ht="15.75" thickBot="1"/>
    <row r="12" s="112" customFormat="1" ht="19.9" customHeight="1">
      <c r="A12" s="116" t="s">
        <v>106</v>
      </c>
    </row>
    <row r="13" s="112" customFormat="1" ht="33" customHeight="1">
      <c r="A13" s="114" t="s">
        <v>126</v>
      </c>
    </row>
    <row r="14" ht="56.45" customHeight="1">
      <c r="A14" s="115"/>
    </row>
    <row r="15" ht="15.75" thickBot="1">
      <c r="A15" s="224" t="s">
        <v>127</v>
      </c>
    </row>
  </sheetData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headerFooter>
    <oddHeader>&amp;R&amp;G</oddHeader>
    <oddFooter>&amp;C&amp;Z&amp;F Printed 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workbookViewId="0" topLeftCell="A1">
      <selection activeCell="C3" sqref="C3"/>
    </sheetView>
  </sheetViews>
  <sheetFormatPr defaultColWidth="9.140625" defaultRowHeight="15"/>
  <cols>
    <col min="1" max="1" width="14.7109375" style="0" customWidth="1"/>
    <col min="3" max="5" width="12.7109375" style="0" customWidth="1"/>
    <col min="6" max="6" width="2.7109375" style="0" customWidth="1"/>
    <col min="7" max="9" width="12.7109375" style="0" customWidth="1"/>
    <col min="10" max="10" width="2.7109375" style="0" customWidth="1"/>
    <col min="11" max="13" width="12.7109375" style="0" customWidth="1"/>
    <col min="16" max="16" width="12.7109375" style="0" customWidth="1"/>
  </cols>
  <sheetData>
    <row r="1" ht="15.75" thickBot="1">
      <c r="A1" s="235" t="s">
        <v>142</v>
      </c>
    </row>
    <row r="2" spans="1:9" ht="15">
      <c r="A2" s="248"/>
      <c r="B2" s="249" t="s">
        <v>135</v>
      </c>
      <c r="C2" s="250">
        <v>100</v>
      </c>
      <c r="D2" s="249"/>
      <c r="E2" s="251"/>
      <c r="F2" s="225"/>
      <c r="G2" s="225"/>
      <c r="H2" s="234"/>
      <c r="I2" s="225"/>
    </row>
    <row r="3" spans="1:5" ht="15">
      <c r="A3" s="237"/>
      <c r="B3" s="122" t="s">
        <v>136</v>
      </c>
      <c r="C3" s="238">
        <v>0.4</v>
      </c>
      <c r="D3" s="122">
        <f>C2*C3</f>
        <v>40</v>
      </c>
      <c r="E3" s="239"/>
    </row>
    <row r="4" spans="1:5" ht="15">
      <c r="A4" s="237"/>
      <c r="B4" s="122"/>
      <c r="C4" s="122"/>
      <c r="D4" s="122"/>
      <c r="E4" s="239"/>
    </row>
    <row r="5" spans="1:5" ht="15">
      <c r="A5" s="237"/>
      <c r="B5" s="122"/>
      <c r="C5" s="122"/>
      <c r="D5" s="122"/>
      <c r="E5" s="239"/>
    </row>
    <row r="6" spans="1:5" ht="15">
      <c r="A6" s="240" t="s">
        <v>137</v>
      </c>
      <c r="B6" s="122" t="s">
        <v>115</v>
      </c>
      <c r="C6" s="122" t="s">
        <v>143</v>
      </c>
      <c r="D6" s="241" t="s">
        <v>107</v>
      </c>
      <c r="E6" s="252" t="s">
        <v>144</v>
      </c>
    </row>
    <row r="7" spans="1:5" ht="15">
      <c r="A7" s="237" t="s">
        <v>138</v>
      </c>
      <c r="B7" s="242">
        <v>1</v>
      </c>
      <c r="C7" s="242"/>
      <c r="D7" s="243">
        <f>($C$2-$D$3)*C7</f>
        <v>0</v>
      </c>
      <c r="E7" s="253">
        <f>ROUND(D7,0)</f>
        <v>0</v>
      </c>
    </row>
    <row r="8" spans="1:5" ht="15">
      <c r="A8" s="237"/>
      <c r="B8" s="242">
        <v>2</v>
      </c>
      <c r="C8" s="242"/>
      <c r="D8" s="243">
        <f aca="true" t="shared" si="0" ref="D8:D15">($C$2-$D$3)*C8</f>
        <v>0</v>
      </c>
      <c r="E8" s="253">
        <f aca="true" t="shared" si="1" ref="E8:E27">ROUND(D8,0)</f>
        <v>0</v>
      </c>
    </row>
    <row r="9" spans="1:5" ht="15">
      <c r="A9" s="237" t="s">
        <v>139</v>
      </c>
      <c r="B9" s="242">
        <v>2</v>
      </c>
      <c r="C9" s="238">
        <v>0.05</v>
      </c>
      <c r="D9" s="243">
        <f t="shared" si="0"/>
        <v>3</v>
      </c>
      <c r="E9" s="253">
        <f t="shared" si="1"/>
        <v>3</v>
      </c>
    </row>
    <row r="10" spans="1:5" ht="15">
      <c r="A10" s="237"/>
      <c r="B10" s="242">
        <v>3</v>
      </c>
      <c r="C10" s="238">
        <v>0.1</v>
      </c>
      <c r="D10" s="243">
        <f t="shared" si="0"/>
        <v>6</v>
      </c>
      <c r="E10" s="253">
        <f t="shared" si="1"/>
        <v>6</v>
      </c>
    </row>
    <row r="11" spans="1:5" ht="15">
      <c r="A11" s="237" t="s">
        <v>140</v>
      </c>
      <c r="B11" s="242">
        <v>2</v>
      </c>
      <c r="C11" s="238">
        <v>0.1</v>
      </c>
      <c r="D11" s="243">
        <f t="shared" si="0"/>
        <v>6</v>
      </c>
      <c r="E11" s="253">
        <f t="shared" si="1"/>
        <v>6</v>
      </c>
    </row>
    <row r="12" spans="1:5" ht="15">
      <c r="A12" s="237"/>
      <c r="B12" s="242">
        <v>3</v>
      </c>
      <c r="C12" s="238">
        <v>0.1</v>
      </c>
      <c r="D12" s="243">
        <f t="shared" si="0"/>
        <v>6</v>
      </c>
      <c r="E12" s="253">
        <f t="shared" si="1"/>
        <v>6</v>
      </c>
    </row>
    <row r="13" spans="1:5" ht="15">
      <c r="A13" s="237" t="s">
        <v>141</v>
      </c>
      <c r="B13" s="242">
        <v>3</v>
      </c>
      <c r="C13" s="238">
        <v>0.25</v>
      </c>
      <c r="D13" s="243">
        <f t="shared" si="0"/>
        <v>15</v>
      </c>
      <c r="E13" s="253">
        <f t="shared" si="1"/>
        <v>15</v>
      </c>
    </row>
    <row r="14" spans="1:5" ht="15">
      <c r="A14" s="237"/>
      <c r="B14" s="242">
        <v>4</v>
      </c>
      <c r="C14" s="238">
        <v>0.25</v>
      </c>
      <c r="D14" s="243">
        <f t="shared" si="0"/>
        <v>15</v>
      </c>
      <c r="E14" s="253">
        <f t="shared" si="1"/>
        <v>15</v>
      </c>
    </row>
    <row r="15" spans="1:5" ht="15">
      <c r="A15" s="237"/>
      <c r="B15" s="242">
        <v>5</v>
      </c>
      <c r="C15" s="238">
        <v>0.15</v>
      </c>
      <c r="D15" s="243">
        <f t="shared" si="0"/>
        <v>9</v>
      </c>
      <c r="E15" s="253">
        <f t="shared" si="1"/>
        <v>9</v>
      </c>
    </row>
    <row r="16" spans="1:5" ht="15">
      <c r="A16" s="237"/>
      <c r="B16" s="122"/>
      <c r="C16" s="245">
        <f>SUM(C7:C15)</f>
        <v>1</v>
      </c>
      <c r="D16" s="243">
        <f>SUM(D7:D15)</f>
        <v>60</v>
      </c>
      <c r="E16" s="253">
        <f>SUM(E7:E15)</f>
        <v>60</v>
      </c>
    </row>
    <row r="17" spans="1:5" ht="15">
      <c r="A17" s="237"/>
      <c r="B17" s="122"/>
      <c r="C17" s="245"/>
      <c r="D17" s="243"/>
      <c r="E17" s="253"/>
    </row>
    <row r="18" spans="1:5" ht="15">
      <c r="A18" s="240" t="s">
        <v>136</v>
      </c>
      <c r="B18" s="122"/>
      <c r="C18" s="245"/>
      <c r="D18" s="243"/>
      <c r="E18" s="253"/>
    </row>
    <row r="19" spans="1:5" ht="15">
      <c r="A19" s="237" t="s">
        <v>138</v>
      </c>
      <c r="B19" s="242">
        <v>1</v>
      </c>
      <c r="C19" s="238">
        <v>0.2</v>
      </c>
      <c r="D19" s="243">
        <f>$D$3*C19</f>
        <v>8</v>
      </c>
      <c r="E19" s="253">
        <f t="shared" si="1"/>
        <v>8</v>
      </c>
    </row>
    <row r="20" spans="1:5" ht="15">
      <c r="A20" s="237"/>
      <c r="B20" s="242">
        <v>2</v>
      </c>
      <c r="C20" s="238">
        <v>0.25</v>
      </c>
      <c r="D20" s="243">
        <f aca="true" t="shared" si="2" ref="D20:D27">$D$3*C20</f>
        <v>10</v>
      </c>
      <c r="E20" s="253">
        <f t="shared" si="1"/>
        <v>10</v>
      </c>
    </row>
    <row r="21" spans="1:5" ht="15">
      <c r="A21" s="237" t="s">
        <v>139</v>
      </c>
      <c r="B21" s="242">
        <v>2</v>
      </c>
      <c r="C21" s="238">
        <v>0.2</v>
      </c>
      <c r="D21" s="243">
        <f t="shared" si="2"/>
        <v>8</v>
      </c>
      <c r="E21" s="253">
        <f t="shared" si="1"/>
        <v>8</v>
      </c>
    </row>
    <row r="22" spans="1:5" ht="15">
      <c r="A22" s="237"/>
      <c r="B22" s="242">
        <v>3</v>
      </c>
      <c r="C22" s="238">
        <v>0.25</v>
      </c>
      <c r="D22" s="243">
        <f t="shared" si="2"/>
        <v>10</v>
      </c>
      <c r="E22" s="253">
        <f t="shared" si="1"/>
        <v>10</v>
      </c>
    </row>
    <row r="23" spans="1:5" ht="15">
      <c r="A23" s="237" t="s">
        <v>140</v>
      </c>
      <c r="B23" s="242">
        <v>2</v>
      </c>
      <c r="C23" s="238"/>
      <c r="D23" s="243">
        <f t="shared" si="2"/>
        <v>0</v>
      </c>
      <c r="E23" s="253">
        <f t="shared" si="1"/>
        <v>0</v>
      </c>
    </row>
    <row r="24" spans="1:5" ht="15">
      <c r="A24" s="237"/>
      <c r="B24" s="242">
        <v>3</v>
      </c>
      <c r="C24" s="238">
        <v>0.1</v>
      </c>
      <c r="D24" s="243">
        <f t="shared" si="2"/>
        <v>4</v>
      </c>
      <c r="E24" s="253">
        <f t="shared" si="1"/>
        <v>4</v>
      </c>
    </row>
    <row r="25" spans="1:5" ht="15">
      <c r="A25" s="237" t="s">
        <v>141</v>
      </c>
      <c r="B25" s="242">
        <v>3</v>
      </c>
      <c r="C25" s="238"/>
      <c r="D25" s="243">
        <f t="shared" si="2"/>
        <v>0</v>
      </c>
      <c r="E25" s="253">
        <f t="shared" si="1"/>
        <v>0</v>
      </c>
    </row>
    <row r="26" spans="1:5" ht="15">
      <c r="A26" s="237"/>
      <c r="B26" s="242">
        <v>4</v>
      </c>
      <c r="C26" s="238"/>
      <c r="D26" s="243">
        <f t="shared" si="2"/>
        <v>0</v>
      </c>
      <c r="E26" s="253">
        <f t="shared" si="1"/>
        <v>0</v>
      </c>
    </row>
    <row r="27" spans="1:5" ht="15">
      <c r="A27" s="237"/>
      <c r="B27" s="242">
        <v>5</v>
      </c>
      <c r="C27" s="238"/>
      <c r="D27" s="243">
        <f t="shared" si="2"/>
        <v>0</v>
      </c>
      <c r="E27" s="253">
        <f t="shared" si="1"/>
        <v>0</v>
      </c>
    </row>
    <row r="28" spans="1:5" ht="15">
      <c r="A28" s="237"/>
      <c r="B28" s="122"/>
      <c r="C28" s="245">
        <f>SUM(C19:C27)</f>
        <v>1</v>
      </c>
      <c r="D28" s="243">
        <f>SUM(D19:D27)</f>
        <v>40</v>
      </c>
      <c r="E28" s="253">
        <f>SUM(E19:E27)</f>
        <v>40</v>
      </c>
    </row>
    <row r="29" spans="1:5" ht="15.75" thickBot="1">
      <c r="A29" s="246"/>
      <c r="B29" s="123"/>
      <c r="C29" s="123"/>
      <c r="D29" s="247">
        <f>D16+D28</f>
        <v>100</v>
      </c>
      <c r="E29" s="254">
        <f>E16+E28</f>
        <v>100</v>
      </c>
    </row>
    <row r="32" ht="15.75" thickBot="1">
      <c r="A32" s="235" t="s">
        <v>145</v>
      </c>
    </row>
    <row r="33" spans="1:13" s="217" customFormat="1" ht="45">
      <c r="A33" s="255" t="s">
        <v>118</v>
      </c>
      <c r="B33" s="256" t="str">
        <f>Cover!A6</f>
        <v>ENTER SITE NAME</v>
      </c>
      <c r="C33" s="256" t="s">
        <v>107</v>
      </c>
      <c r="D33" s="256" t="s">
        <v>108</v>
      </c>
      <c r="E33" s="256" t="s">
        <v>110</v>
      </c>
      <c r="F33" s="256"/>
      <c r="G33" s="256"/>
      <c r="H33" s="256"/>
      <c r="I33" s="256" t="s">
        <v>111</v>
      </c>
      <c r="J33" s="256"/>
      <c r="K33" s="256" t="s">
        <v>131</v>
      </c>
      <c r="L33" s="256"/>
      <c r="M33" s="257"/>
    </row>
    <row r="34" spans="1:17" ht="15">
      <c r="A34" s="258"/>
      <c r="B34" s="122"/>
      <c r="C34" s="259"/>
      <c r="D34" s="259" t="s">
        <v>35</v>
      </c>
      <c r="E34" s="259" t="s">
        <v>9</v>
      </c>
      <c r="F34" s="259"/>
      <c r="G34" s="122"/>
      <c r="H34" s="122"/>
      <c r="I34" s="122"/>
      <c r="J34" s="122"/>
      <c r="K34" s="122" t="s">
        <v>132</v>
      </c>
      <c r="L34" s="260" t="s">
        <v>10</v>
      </c>
      <c r="M34" s="261" t="s">
        <v>16</v>
      </c>
      <c r="O34" s="226" t="s">
        <v>134</v>
      </c>
      <c r="P34" s="227"/>
      <c r="Q34" s="227"/>
    </row>
    <row r="35" spans="1:17" s="225" customFormat="1" ht="15">
      <c r="A35" s="262"/>
      <c r="B35" s="263"/>
      <c r="C35" s="263">
        <f>SUM(C39:C60)</f>
        <v>100</v>
      </c>
      <c r="D35" s="264">
        <v>3.3</v>
      </c>
      <c r="E35" s="265">
        <f>SUM(E38:E60)</f>
        <v>9540</v>
      </c>
      <c r="F35" s="236"/>
      <c r="G35" s="236"/>
      <c r="H35" s="236"/>
      <c r="I35" s="265">
        <f>SUM(I38:I60)</f>
        <v>7714400</v>
      </c>
      <c r="J35" s="263"/>
      <c r="K35" s="266">
        <f>M35/C35</f>
        <v>169410</v>
      </c>
      <c r="L35" s="265">
        <f>M35/P41</f>
        <v>2509.777777777778</v>
      </c>
      <c r="M35" s="267">
        <f>SUM(M38:M60)</f>
        <v>16941000</v>
      </c>
      <c r="O35" s="228" t="s">
        <v>107</v>
      </c>
      <c r="P35" s="228">
        <f>C35</f>
        <v>100</v>
      </c>
      <c r="Q35" s="228"/>
    </row>
    <row r="36" spans="1:17" ht="15">
      <c r="A36" s="258"/>
      <c r="B36" s="122"/>
      <c r="C36" s="122"/>
      <c r="D36" s="243"/>
      <c r="E36" s="243"/>
      <c r="F36" s="244"/>
      <c r="G36" s="244"/>
      <c r="H36" s="244"/>
      <c r="I36" s="244"/>
      <c r="J36" s="122"/>
      <c r="K36" s="122"/>
      <c r="L36" s="122"/>
      <c r="M36" s="239"/>
      <c r="O36" s="229" t="s">
        <v>109</v>
      </c>
      <c r="P36" s="230">
        <f>C35/D35</f>
        <v>30.303030303030305</v>
      </c>
      <c r="Q36" s="229" t="s">
        <v>113</v>
      </c>
    </row>
    <row r="37" spans="1:17" ht="15">
      <c r="A37" s="258"/>
      <c r="B37" s="268" t="s">
        <v>115</v>
      </c>
      <c r="C37" s="269" t="s">
        <v>116</v>
      </c>
      <c r="D37" s="268" t="s">
        <v>9</v>
      </c>
      <c r="E37" s="269" t="s">
        <v>16</v>
      </c>
      <c r="F37" s="270"/>
      <c r="G37" s="270" t="s">
        <v>98</v>
      </c>
      <c r="H37" s="270" t="s">
        <v>146</v>
      </c>
      <c r="I37" s="270" t="s">
        <v>117</v>
      </c>
      <c r="J37" s="122"/>
      <c r="K37" s="122"/>
      <c r="L37" s="122"/>
      <c r="M37" s="239"/>
      <c r="O37" s="228" t="s">
        <v>6</v>
      </c>
      <c r="P37" s="231">
        <f>E35</f>
        <v>9540</v>
      </c>
      <c r="Q37" s="228" t="s">
        <v>9</v>
      </c>
    </row>
    <row r="38" spans="1:17" ht="15">
      <c r="A38" s="240" t="str">
        <f>A6</f>
        <v>Market</v>
      </c>
      <c r="B38" s="271"/>
      <c r="C38" s="236"/>
      <c r="D38" s="272"/>
      <c r="E38" s="272"/>
      <c r="F38" s="266"/>
      <c r="G38" s="266"/>
      <c r="H38" s="266"/>
      <c r="I38" s="266"/>
      <c r="J38" s="236"/>
      <c r="K38" s="266"/>
      <c r="L38" s="266"/>
      <c r="M38" s="273"/>
      <c r="O38" s="228" t="s">
        <v>129</v>
      </c>
      <c r="P38" s="232">
        <f>E35/C35</f>
        <v>95.4</v>
      </c>
      <c r="Q38" s="228" t="s">
        <v>9</v>
      </c>
    </row>
    <row r="39" spans="1:17" ht="15">
      <c r="A39" s="274" t="str">
        <f aca="true" t="shared" si="3" ref="A39:B39">A7</f>
        <v>Flat</v>
      </c>
      <c r="B39" s="275">
        <f t="shared" si="3"/>
        <v>1</v>
      </c>
      <c r="C39" s="276">
        <f>E7</f>
        <v>0</v>
      </c>
      <c r="D39" s="277">
        <v>45</v>
      </c>
      <c r="E39" s="243">
        <f aca="true" t="shared" si="4" ref="E39:E59">C39*D39</f>
        <v>0</v>
      </c>
      <c r="F39" s="244"/>
      <c r="G39" s="278">
        <v>800</v>
      </c>
      <c r="H39" s="238">
        <v>0.1</v>
      </c>
      <c r="I39" s="244">
        <f aca="true" t="shared" si="5" ref="I39:I59">G39*(E39+(E39*H39))</f>
        <v>0</v>
      </c>
      <c r="J39" s="122"/>
      <c r="K39" s="278">
        <v>110000</v>
      </c>
      <c r="L39" s="244">
        <f aca="true" t="shared" si="6" ref="L39:L47">K39/D39</f>
        <v>2444.4444444444443</v>
      </c>
      <c r="M39" s="253">
        <f aca="true" t="shared" si="7" ref="M39:M47">L39*E39</f>
        <v>0</v>
      </c>
      <c r="O39" s="228" t="s">
        <v>109</v>
      </c>
      <c r="P39" s="232">
        <f>E35/D35</f>
        <v>2890.909090909091</v>
      </c>
      <c r="Q39" s="228" t="s">
        <v>114</v>
      </c>
    </row>
    <row r="40" spans="1:17" ht="15">
      <c r="A40" s="274"/>
      <c r="B40" s="275">
        <f>B8</f>
        <v>2</v>
      </c>
      <c r="C40" s="276">
        <f aca="true" t="shared" si="8" ref="C40:C59">E8</f>
        <v>0</v>
      </c>
      <c r="D40" s="277">
        <v>62</v>
      </c>
      <c r="E40" s="243">
        <f t="shared" si="4"/>
        <v>0</v>
      </c>
      <c r="F40" s="244"/>
      <c r="G40" s="278">
        <v>800</v>
      </c>
      <c r="H40" s="238">
        <v>0.1</v>
      </c>
      <c r="I40" s="244">
        <f t="shared" si="5"/>
        <v>0</v>
      </c>
      <c r="J40" s="122"/>
      <c r="K40" s="278">
        <v>155000</v>
      </c>
      <c r="L40" s="244">
        <f t="shared" si="6"/>
        <v>2500</v>
      </c>
      <c r="M40" s="253">
        <f t="shared" si="7"/>
        <v>0</v>
      </c>
      <c r="O40" s="119"/>
      <c r="P40" s="119"/>
      <c r="Q40" s="119"/>
    </row>
    <row r="41" spans="1:17" ht="15">
      <c r="A41" s="274" t="str">
        <f aca="true" t="shared" si="9" ref="A41:B41">A9</f>
        <v>Terrace</v>
      </c>
      <c r="B41" s="275">
        <f t="shared" si="9"/>
        <v>2</v>
      </c>
      <c r="C41" s="276">
        <f t="shared" si="8"/>
        <v>3</v>
      </c>
      <c r="D41" s="277">
        <v>65</v>
      </c>
      <c r="E41" s="243">
        <f t="shared" si="4"/>
        <v>195</v>
      </c>
      <c r="F41" s="244"/>
      <c r="G41" s="278">
        <v>800</v>
      </c>
      <c r="H41" s="238"/>
      <c r="I41" s="244">
        <f t="shared" si="5"/>
        <v>156000</v>
      </c>
      <c r="J41" s="122"/>
      <c r="K41" s="278">
        <v>165000</v>
      </c>
      <c r="L41" s="244">
        <f t="shared" si="6"/>
        <v>2538.4615384615386</v>
      </c>
      <c r="M41" s="253">
        <f t="shared" si="7"/>
        <v>495000</v>
      </c>
      <c r="O41" s="229" t="s">
        <v>147</v>
      </c>
      <c r="P41" s="233">
        <f>SUM(E39:E47)</f>
        <v>6750</v>
      </c>
      <c r="Q41" s="229" t="s">
        <v>9</v>
      </c>
    </row>
    <row r="42" spans="1:17" ht="15">
      <c r="A42" s="274"/>
      <c r="B42" s="275">
        <f>B10</f>
        <v>3</v>
      </c>
      <c r="C42" s="276">
        <f t="shared" si="8"/>
        <v>6</v>
      </c>
      <c r="D42" s="277">
        <v>75</v>
      </c>
      <c r="E42" s="243">
        <f t="shared" si="4"/>
        <v>450</v>
      </c>
      <c r="F42" s="244"/>
      <c r="G42" s="278">
        <v>800</v>
      </c>
      <c r="H42" s="238"/>
      <c r="I42" s="244">
        <f t="shared" si="5"/>
        <v>360000</v>
      </c>
      <c r="J42" s="122"/>
      <c r="K42" s="278">
        <v>188000</v>
      </c>
      <c r="L42" s="244">
        <f t="shared" si="6"/>
        <v>2506.6666666666665</v>
      </c>
      <c r="M42" s="253">
        <f t="shared" si="7"/>
        <v>1128000</v>
      </c>
      <c r="O42" s="229" t="s">
        <v>136</v>
      </c>
      <c r="P42" s="233">
        <f>SUM(E51:E59)</f>
        <v>2790</v>
      </c>
      <c r="Q42" s="229" t="s">
        <v>9</v>
      </c>
    </row>
    <row r="43" spans="1:17" ht="15">
      <c r="A43" s="274" t="str">
        <f aca="true" t="shared" si="10" ref="A43:B43">A11</f>
        <v>Semi</v>
      </c>
      <c r="B43" s="275">
        <f t="shared" si="10"/>
        <v>2</v>
      </c>
      <c r="C43" s="276">
        <f t="shared" si="8"/>
        <v>6</v>
      </c>
      <c r="D43" s="277">
        <v>85</v>
      </c>
      <c r="E43" s="243">
        <f t="shared" si="4"/>
        <v>510</v>
      </c>
      <c r="F43" s="244"/>
      <c r="G43" s="278">
        <v>800</v>
      </c>
      <c r="H43" s="238"/>
      <c r="I43" s="244">
        <f t="shared" si="5"/>
        <v>408000</v>
      </c>
      <c r="J43" s="122"/>
      <c r="K43" s="278">
        <v>215000</v>
      </c>
      <c r="L43" s="244">
        <f t="shared" si="6"/>
        <v>2529.4117647058824</v>
      </c>
      <c r="M43" s="253">
        <f t="shared" si="7"/>
        <v>1290000</v>
      </c>
      <c r="O43" s="227"/>
      <c r="P43" s="233">
        <f>SUM(P41:P42)</f>
        <v>9540</v>
      </c>
      <c r="Q43" s="229" t="s">
        <v>9</v>
      </c>
    </row>
    <row r="44" spans="1:13" ht="15">
      <c r="A44" s="274"/>
      <c r="B44" s="275">
        <f>B12</f>
        <v>3</v>
      </c>
      <c r="C44" s="276">
        <f t="shared" si="8"/>
        <v>6</v>
      </c>
      <c r="D44" s="277">
        <v>95</v>
      </c>
      <c r="E44" s="243">
        <f t="shared" si="4"/>
        <v>570</v>
      </c>
      <c r="F44" s="244"/>
      <c r="G44" s="278">
        <v>800</v>
      </c>
      <c r="H44" s="238"/>
      <c r="I44" s="244">
        <f t="shared" si="5"/>
        <v>456000</v>
      </c>
      <c r="J44" s="122"/>
      <c r="K44" s="278">
        <v>238000</v>
      </c>
      <c r="L44" s="244">
        <f t="shared" si="6"/>
        <v>2505.2631578947367</v>
      </c>
      <c r="M44" s="253">
        <f t="shared" si="7"/>
        <v>1428000</v>
      </c>
    </row>
    <row r="45" spans="1:13" ht="15">
      <c r="A45" s="274" t="str">
        <f aca="true" t="shared" si="11" ref="A45:B45">A13</f>
        <v>Det</v>
      </c>
      <c r="B45" s="275">
        <f t="shared" si="11"/>
        <v>3</v>
      </c>
      <c r="C45" s="276">
        <f t="shared" si="8"/>
        <v>15</v>
      </c>
      <c r="D45" s="277">
        <v>110</v>
      </c>
      <c r="E45" s="243">
        <f t="shared" si="4"/>
        <v>1650</v>
      </c>
      <c r="F45" s="244"/>
      <c r="G45" s="278">
        <v>800</v>
      </c>
      <c r="H45" s="238"/>
      <c r="I45" s="244">
        <f t="shared" si="5"/>
        <v>1320000</v>
      </c>
      <c r="J45" s="122"/>
      <c r="K45" s="278">
        <v>275000</v>
      </c>
      <c r="L45" s="244">
        <f t="shared" si="6"/>
        <v>2500</v>
      </c>
      <c r="M45" s="253">
        <f t="shared" si="7"/>
        <v>4125000</v>
      </c>
    </row>
    <row r="46" spans="1:17" ht="15">
      <c r="A46" s="274"/>
      <c r="B46" s="275">
        <f>B14</f>
        <v>4</v>
      </c>
      <c r="C46" s="276">
        <f t="shared" si="8"/>
        <v>15</v>
      </c>
      <c r="D46" s="277">
        <v>135</v>
      </c>
      <c r="E46" s="243">
        <f t="shared" si="4"/>
        <v>2025</v>
      </c>
      <c r="F46" s="244"/>
      <c r="G46" s="278">
        <v>800</v>
      </c>
      <c r="H46" s="238"/>
      <c r="I46" s="244">
        <f t="shared" si="5"/>
        <v>1620000</v>
      </c>
      <c r="J46" s="122"/>
      <c r="K46" s="278">
        <v>340000</v>
      </c>
      <c r="L46" s="244">
        <f t="shared" si="6"/>
        <v>2518.5185185185187</v>
      </c>
      <c r="M46" s="253">
        <f t="shared" si="7"/>
        <v>5100000</v>
      </c>
      <c r="O46" s="226" t="s">
        <v>130</v>
      </c>
      <c r="P46" s="227"/>
      <c r="Q46" s="227"/>
    </row>
    <row r="47" spans="1:17" ht="15">
      <c r="A47" s="274"/>
      <c r="B47" s="275">
        <f>B15</f>
        <v>5</v>
      </c>
      <c r="C47" s="276">
        <f t="shared" si="8"/>
        <v>9</v>
      </c>
      <c r="D47" s="277">
        <v>150</v>
      </c>
      <c r="E47" s="243">
        <f t="shared" si="4"/>
        <v>1350</v>
      </c>
      <c r="F47" s="244"/>
      <c r="G47" s="278">
        <v>800</v>
      </c>
      <c r="H47" s="238"/>
      <c r="I47" s="244">
        <f t="shared" si="5"/>
        <v>1080000</v>
      </c>
      <c r="J47" s="122"/>
      <c r="K47" s="278">
        <v>375000</v>
      </c>
      <c r="L47" s="244">
        <f t="shared" si="6"/>
        <v>2500</v>
      </c>
      <c r="M47" s="253">
        <f t="shared" si="7"/>
        <v>3375000</v>
      </c>
      <c r="O47" s="227" t="s">
        <v>111</v>
      </c>
      <c r="P47" s="233">
        <f>I35</f>
        <v>7714400</v>
      </c>
      <c r="Q47" s="227" t="s">
        <v>11</v>
      </c>
    </row>
    <row r="48" spans="1:17" ht="15">
      <c r="A48" s="274"/>
      <c r="B48" s="280"/>
      <c r="C48" s="265"/>
      <c r="D48" s="272"/>
      <c r="E48" s="272"/>
      <c r="F48" s="266"/>
      <c r="G48" s="266"/>
      <c r="H48" s="279"/>
      <c r="I48" s="266"/>
      <c r="J48" s="236"/>
      <c r="K48" s="266"/>
      <c r="L48" s="266"/>
      <c r="M48" s="273"/>
      <c r="O48" s="227" t="s">
        <v>112</v>
      </c>
      <c r="P48" s="230">
        <f>I35/E35</f>
        <v>808.6373165618448</v>
      </c>
      <c r="Q48" s="227" t="s">
        <v>10</v>
      </c>
    </row>
    <row r="49" spans="1:13" ht="15">
      <c r="A49" s="274"/>
      <c r="B49" s="280"/>
      <c r="C49" s="265"/>
      <c r="D49" s="272"/>
      <c r="E49" s="272"/>
      <c r="F49" s="266"/>
      <c r="G49" s="266"/>
      <c r="H49" s="279"/>
      <c r="I49" s="266"/>
      <c r="J49" s="236"/>
      <c r="K49" s="266"/>
      <c r="L49" s="266"/>
      <c r="M49" s="273"/>
    </row>
    <row r="50" spans="1:17" ht="15">
      <c r="A50" s="240" t="str">
        <f>A18</f>
        <v>Affordable</v>
      </c>
      <c r="B50" s="280"/>
      <c r="C50" s="265"/>
      <c r="D50" s="272"/>
      <c r="E50" s="272"/>
      <c r="F50" s="266"/>
      <c r="G50" s="266"/>
      <c r="H50" s="279"/>
      <c r="I50" s="266"/>
      <c r="J50" s="236"/>
      <c r="K50" s="266"/>
      <c r="L50" s="266"/>
      <c r="M50" s="273"/>
      <c r="O50" s="226" t="s">
        <v>131</v>
      </c>
      <c r="P50" s="227"/>
      <c r="Q50" s="227"/>
    </row>
    <row r="51" spans="1:17" ht="15">
      <c r="A51" s="274" t="str">
        <f aca="true" t="shared" si="12" ref="A51:B51">A19</f>
        <v>Flat</v>
      </c>
      <c r="B51" s="275">
        <f t="shared" si="12"/>
        <v>1</v>
      </c>
      <c r="C51" s="276">
        <f t="shared" si="8"/>
        <v>8</v>
      </c>
      <c r="D51" s="277">
        <v>45</v>
      </c>
      <c r="E51" s="243">
        <f t="shared" si="4"/>
        <v>360</v>
      </c>
      <c r="F51" s="244"/>
      <c r="G51" s="278">
        <v>800</v>
      </c>
      <c r="H51" s="238">
        <v>0.1</v>
      </c>
      <c r="I51" s="244">
        <f t="shared" si="5"/>
        <v>316800</v>
      </c>
      <c r="J51" s="122"/>
      <c r="K51" s="266"/>
      <c r="L51" s="266"/>
      <c r="M51" s="273"/>
      <c r="O51" s="227" t="s">
        <v>16</v>
      </c>
      <c r="P51" s="233">
        <f>M35</f>
        <v>16941000</v>
      </c>
      <c r="Q51" s="227" t="s">
        <v>11</v>
      </c>
    </row>
    <row r="52" spans="1:17" ht="15">
      <c r="A52" s="274"/>
      <c r="B52" s="275">
        <f>B20</f>
        <v>2</v>
      </c>
      <c r="C52" s="276">
        <f t="shared" si="8"/>
        <v>10</v>
      </c>
      <c r="D52" s="277">
        <v>67</v>
      </c>
      <c r="E52" s="243">
        <f t="shared" si="4"/>
        <v>670</v>
      </c>
      <c r="F52" s="244"/>
      <c r="G52" s="278">
        <v>800</v>
      </c>
      <c r="H52" s="238">
        <v>0.1</v>
      </c>
      <c r="I52" s="244">
        <f t="shared" si="5"/>
        <v>589600</v>
      </c>
      <c r="J52" s="122"/>
      <c r="K52" s="266"/>
      <c r="L52" s="266"/>
      <c r="M52" s="273"/>
      <c r="O52" s="227" t="s">
        <v>133</v>
      </c>
      <c r="P52" s="233">
        <f>K35</f>
        <v>169410</v>
      </c>
      <c r="Q52" s="227" t="s">
        <v>11</v>
      </c>
    </row>
    <row r="53" spans="1:17" ht="15">
      <c r="A53" s="274" t="str">
        <f aca="true" t="shared" si="13" ref="A53:B53">A21</f>
        <v>Terrace</v>
      </c>
      <c r="B53" s="275">
        <f t="shared" si="13"/>
        <v>2</v>
      </c>
      <c r="C53" s="276">
        <f t="shared" si="8"/>
        <v>8</v>
      </c>
      <c r="D53" s="277">
        <v>75</v>
      </c>
      <c r="E53" s="243">
        <f t="shared" si="4"/>
        <v>600</v>
      </c>
      <c r="F53" s="244"/>
      <c r="G53" s="278">
        <v>800</v>
      </c>
      <c r="H53" s="278"/>
      <c r="I53" s="244">
        <f t="shared" si="5"/>
        <v>480000</v>
      </c>
      <c r="J53" s="122"/>
      <c r="K53" s="266"/>
      <c r="L53" s="266"/>
      <c r="M53" s="273"/>
      <c r="O53" s="227" t="s">
        <v>6</v>
      </c>
      <c r="P53" s="233">
        <f>L35</f>
        <v>2509.777777777778</v>
      </c>
      <c r="Q53" s="227" t="s">
        <v>10</v>
      </c>
    </row>
    <row r="54" spans="1:13" ht="15">
      <c r="A54" s="274"/>
      <c r="B54" s="275">
        <f>B22</f>
        <v>3</v>
      </c>
      <c r="C54" s="276">
        <f t="shared" si="8"/>
        <v>10</v>
      </c>
      <c r="D54" s="277">
        <v>82</v>
      </c>
      <c r="E54" s="243">
        <f t="shared" si="4"/>
        <v>820</v>
      </c>
      <c r="F54" s="244"/>
      <c r="G54" s="278">
        <v>800</v>
      </c>
      <c r="H54" s="278"/>
      <c r="I54" s="244">
        <f t="shared" si="5"/>
        <v>656000</v>
      </c>
      <c r="J54" s="122"/>
      <c r="K54" s="266"/>
      <c r="L54" s="266"/>
      <c r="M54" s="273"/>
    </row>
    <row r="55" spans="1:13" ht="15">
      <c r="A55" s="274" t="str">
        <f aca="true" t="shared" si="14" ref="A55:B55">A23</f>
        <v>Semi</v>
      </c>
      <c r="B55" s="275">
        <f t="shared" si="14"/>
        <v>2</v>
      </c>
      <c r="C55" s="276">
        <f t="shared" si="8"/>
        <v>0</v>
      </c>
      <c r="D55" s="277">
        <v>80</v>
      </c>
      <c r="E55" s="243">
        <f t="shared" si="4"/>
        <v>0</v>
      </c>
      <c r="F55" s="244"/>
      <c r="G55" s="278">
        <v>800</v>
      </c>
      <c r="H55" s="238"/>
      <c r="I55" s="244">
        <f>G55*(E55+(E55*H55))</f>
        <v>0</v>
      </c>
      <c r="J55" s="122"/>
      <c r="K55" s="266"/>
      <c r="L55" s="266"/>
      <c r="M55" s="273"/>
    </row>
    <row r="56" spans="1:13" ht="15">
      <c r="A56" s="274"/>
      <c r="B56" s="275">
        <f>B24</f>
        <v>3</v>
      </c>
      <c r="C56" s="276">
        <f t="shared" si="8"/>
        <v>4</v>
      </c>
      <c r="D56" s="277">
        <v>85</v>
      </c>
      <c r="E56" s="243">
        <f t="shared" si="4"/>
        <v>340</v>
      </c>
      <c r="F56" s="244"/>
      <c r="G56" s="278">
        <v>800</v>
      </c>
      <c r="H56" s="238"/>
      <c r="I56" s="244">
        <f t="shared" si="5"/>
        <v>272000</v>
      </c>
      <c r="J56" s="122"/>
      <c r="K56" s="266"/>
      <c r="L56" s="266"/>
      <c r="M56" s="273"/>
    </row>
    <row r="57" spans="1:13" ht="15">
      <c r="A57" s="274" t="str">
        <f aca="true" t="shared" si="15" ref="A57:B57">A25</f>
        <v>Det</v>
      </c>
      <c r="B57" s="275">
        <f t="shared" si="15"/>
        <v>3</v>
      </c>
      <c r="C57" s="276">
        <f t="shared" si="8"/>
        <v>0</v>
      </c>
      <c r="D57" s="277">
        <v>86</v>
      </c>
      <c r="E57" s="243">
        <f t="shared" si="4"/>
        <v>0</v>
      </c>
      <c r="F57" s="244"/>
      <c r="G57" s="278">
        <v>800</v>
      </c>
      <c r="H57" s="238"/>
      <c r="I57" s="244">
        <f t="shared" si="5"/>
        <v>0</v>
      </c>
      <c r="J57" s="122"/>
      <c r="K57" s="266"/>
      <c r="L57" s="266"/>
      <c r="M57" s="273"/>
    </row>
    <row r="58" spans="1:13" ht="15">
      <c r="A58" s="274"/>
      <c r="B58" s="275">
        <f>B26</f>
        <v>4</v>
      </c>
      <c r="C58" s="276">
        <f t="shared" si="8"/>
        <v>0</v>
      </c>
      <c r="D58" s="277">
        <v>100</v>
      </c>
      <c r="E58" s="243">
        <f t="shared" si="4"/>
        <v>0</v>
      </c>
      <c r="F58" s="244"/>
      <c r="G58" s="278">
        <v>800</v>
      </c>
      <c r="H58" s="238"/>
      <c r="I58" s="244">
        <f t="shared" si="5"/>
        <v>0</v>
      </c>
      <c r="J58" s="122"/>
      <c r="K58" s="266"/>
      <c r="L58" s="266"/>
      <c r="M58" s="273"/>
    </row>
    <row r="59" spans="1:13" ht="15">
      <c r="A59" s="274"/>
      <c r="B59" s="275">
        <f>B27</f>
        <v>5</v>
      </c>
      <c r="C59" s="276">
        <f t="shared" si="8"/>
        <v>0</v>
      </c>
      <c r="D59" s="277">
        <v>125</v>
      </c>
      <c r="E59" s="243">
        <f t="shared" si="4"/>
        <v>0</v>
      </c>
      <c r="F59" s="244"/>
      <c r="G59" s="278">
        <v>800</v>
      </c>
      <c r="H59" s="238"/>
      <c r="I59" s="244">
        <f t="shared" si="5"/>
        <v>0</v>
      </c>
      <c r="J59" s="122"/>
      <c r="K59" s="266"/>
      <c r="L59" s="266"/>
      <c r="M59" s="273"/>
    </row>
    <row r="60" spans="1:13" ht="15.75" thickBot="1">
      <c r="A60" s="281"/>
      <c r="B60" s="282"/>
      <c r="C60" s="283"/>
      <c r="D60" s="284"/>
      <c r="E60" s="284"/>
      <c r="F60" s="285"/>
      <c r="G60" s="285"/>
      <c r="H60" s="286"/>
      <c r="I60" s="285"/>
      <c r="J60" s="287"/>
      <c r="K60" s="285"/>
      <c r="L60" s="285"/>
      <c r="M60" s="288"/>
    </row>
  </sheetData>
  <conditionalFormatting sqref="E16">
    <cfRule type="cellIs" priority="3" dxfId="15" operator="notEqual">
      <formula>$D$16</formula>
    </cfRule>
  </conditionalFormatting>
  <conditionalFormatting sqref="E28">
    <cfRule type="cellIs" priority="2" dxfId="15" operator="notEqual">
      <formula>$D$28</formula>
    </cfRule>
  </conditionalFormatting>
  <conditionalFormatting sqref="E29">
    <cfRule type="cellIs" priority="1" dxfId="15" operator="notEqual">
      <formula>$D$29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B83"/>
  <sheetViews>
    <sheetView tabSelected="1" zoomScale="70" zoomScaleNormal="70" zoomScalePageLayoutView="30" workbookViewId="0" topLeftCell="A1">
      <selection activeCell="N22" sqref="N22"/>
    </sheetView>
  </sheetViews>
  <sheetFormatPr defaultColWidth="11.421875" defaultRowHeight="15"/>
  <cols>
    <col min="1" max="1" width="23.421875" style="4" customWidth="1"/>
    <col min="2" max="27" width="13.28125" style="4" customWidth="1"/>
    <col min="28" max="16384" width="11.421875" style="4" customWidth="1"/>
  </cols>
  <sheetData>
    <row r="1" spans="1:9" ht="15">
      <c r="A1" s="108" t="s">
        <v>96</v>
      </c>
      <c r="B1" s="218" t="str">
        <f>Cover!A6</f>
        <v>ENTER SITE NAME</v>
      </c>
      <c r="C1" s="97"/>
      <c r="D1" s="98"/>
      <c r="E1" s="1"/>
      <c r="F1" s="1"/>
      <c r="G1" s="2"/>
      <c r="H1" s="2"/>
      <c r="I1" s="3"/>
    </row>
    <row r="2" ht="13.5" thickBot="1"/>
    <row r="3" spans="1:24" ht="13.5" thickBot="1">
      <c r="A3" s="5" t="s">
        <v>0</v>
      </c>
      <c r="B3" s="157" t="s">
        <v>1</v>
      </c>
      <c r="C3" s="157" t="s">
        <v>2</v>
      </c>
      <c r="D3" s="157" t="s">
        <v>3</v>
      </c>
      <c r="E3" s="157"/>
      <c r="F3" s="157" t="s">
        <v>4</v>
      </c>
      <c r="G3" s="157" t="s">
        <v>5</v>
      </c>
      <c r="H3" s="158" t="s">
        <v>6</v>
      </c>
      <c r="J3" s="8" t="s">
        <v>7</v>
      </c>
      <c r="K3" s="9"/>
      <c r="L3" s="9"/>
      <c r="M3" s="10"/>
      <c r="N3" s="11"/>
      <c r="O3" s="10"/>
      <c r="P3" s="12"/>
      <c r="R3" s="13" t="s">
        <v>8</v>
      </c>
      <c r="S3" s="14"/>
      <c r="T3" s="101"/>
      <c r="U3" s="102"/>
      <c r="W3" s="13" t="s">
        <v>97</v>
      </c>
      <c r="X3" s="204" t="s">
        <v>105</v>
      </c>
    </row>
    <row r="4" spans="1:24" ht="13.5" thickBot="1">
      <c r="A4" s="15"/>
      <c r="B4" s="159" t="s">
        <v>9</v>
      </c>
      <c r="C4" s="146"/>
      <c r="D4" s="146">
        <f>'Site make up'!C35</f>
        <v>100</v>
      </c>
      <c r="E4" s="146"/>
      <c r="F4" s="159" t="s">
        <v>10</v>
      </c>
      <c r="G4" s="159" t="s">
        <v>11</v>
      </c>
      <c r="H4" s="160" t="s">
        <v>9</v>
      </c>
      <c r="J4" s="18"/>
      <c r="K4" s="19"/>
      <c r="L4" s="19"/>
      <c r="M4" s="20"/>
      <c r="N4" s="21"/>
      <c r="O4" s="20"/>
      <c r="P4" s="22"/>
      <c r="R4" s="48" t="s">
        <v>93</v>
      </c>
      <c r="S4" s="165" t="s">
        <v>12</v>
      </c>
      <c r="T4" s="165" t="s">
        <v>13</v>
      </c>
      <c r="U4" s="166"/>
      <c r="W4" s="48" t="s">
        <v>98</v>
      </c>
      <c r="X4" s="223">
        <f>'Site make up'!P48</f>
        <v>808.6373165618448</v>
      </c>
    </row>
    <row r="5" spans="1:24" ht="15">
      <c r="A5" s="15"/>
      <c r="B5" s="146"/>
      <c r="C5" s="146"/>
      <c r="D5" s="146"/>
      <c r="E5" s="146"/>
      <c r="F5" s="146"/>
      <c r="G5" s="146"/>
      <c r="H5" s="161"/>
      <c r="J5" s="24" t="s">
        <v>14</v>
      </c>
      <c r="M5" s="25" t="s">
        <v>15</v>
      </c>
      <c r="N5" s="16" t="s">
        <v>16</v>
      </c>
      <c r="P5" s="23"/>
      <c r="R5" s="103" t="s">
        <v>17</v>
      </c>
      <c r="S5" s="165">
        <f>D4</f>
        <v>100</v>
      </c>
      <c r="T5" s="165"/>
      <c r="U5" s="166"/>
      <c r="W5" s="48" t="s">
        <v>99</v>
      </c>
      <c r="X5" s="205">
        <v>43</v>
      </c>
    </row>
    <row r="6" spans="1:24" ht="15">
      <c r="A6" s="15" t="s">
        <v>18</v>
      </c>
      <c r="B6" s="162">
        <f>'Site make up'!P41/'Site make up'!E16</f>
        <v>112.5</v>
      </c>
      <c r="C6" s="163">
        <f>1-C8-C10-C12</f>
        <v>0.6000000000000001</v>
      </c>
      <c r="D6" s="139">
        <f>D4-D8-D10-D12</f>
        <v>60</v>
      </c>
      <c r="E6" s="139"/>
      <c r="F6" s="139">
        <f>'Site make up'!P53</f>
        <v>2509.777777777778</v>
      </c>
      <c r="G6" s="139">
        <f>H6*F6</f>
        <v>16941000</v>
      </c>
      <c r="H6" s="143">
        <f>B6*D6</f>
        <v>6750</v>
      </c>
      <c r="J6" s="24"/>
      <c r="K6" s="4" t="s">
        <v>19</v>
      </c>
      <c r="M6" s="139">
        <f>O6/D4</f>
        <v>30109.551128485844</v>
      </c>
      <c r="N6" s="46"/>
      <c r="O6" s="142">
        <f>C26</f>
        <v>3010955.1128485845</v>
      </c>
      <c r="P6" s="143"/>
      <c r="R6" s="103" t="s">
        <v>20</v>
      </c>
      <c r="S6" s="165">
        <f>IF(S5&gt;50,S5-50,S5)</f>
        <v>50</v>
      </c>
      <c r="T6" s="193">
        <v>385</v>
      </c>
      <c r="U6" s="167">
        <f>S6*T6</f>
        <v>19250</v>
      </c>
      <c r="W6" s="48" t="s">
        <v>100</v>
      </c>
      <c r="X6" s="205"/>
    </row>
    <row r="7" spans="1:24" ht="15">
      <c r="A7" s="15"/>
      <c r="B7" s="162"/>
      <c r="C7" s="163"/>
      <c r="D7" s="139"/>
      <c r="E7" s="139"/>
      <c r="F7" s="139"/>
      <c r="G7" s="139"/>
      <c r="H7" s="143"/>
      <c r="J7" s="24"/>
      <c r="K7" s="4" t="s">
        <v>23</v>
      </c>
      <c r="M7" s="144"/>
      <c r="N7" s="145">
        <f>U19</f>
        <v>150547.75564242923</v>
      </c>
      <c r="O7" s="145"/>
      <c r="P7" s="143"/>
      <c r="R7" s="103" t="s">
        <v>21</v>
      </c>
      <c r="S7" s="165">
        <f>IF(S5&gt;50,S5-50,0)</f>
        <v>50</v>
      </c>
      <c r="T7" s="193">
        <v>115</v>
      </c>
      <c r="U7" s="167">
        <f>S7*T7</f>
        <v>5750</v>
      </c>
      <c r="W7" s="48" t="s">
        <v>101</v>
      </c>
      <c r="X7" s="205">
        <v>25</v>
      </c>
    </row>
    <row r="8" spans="1:24" ht="15">
      <c r="A8" s="15" t="s">
        <v>22</v>
      </c>
      <c r="B8" s="162">
        <f>'Site make up'!P42/'Site make up'!E28</f>
        <v>69.75</v>
      </c>
      <c r="C8" s="189">
        <v>0.2</v>
      </c>
      <c r="D8" s="139">
        <f>$D$4*C8</f>
        <v>20</v>
      </c>
      <c r="E8" s="139"/>
      <c r="F8" s="190">
        <f>F6*0.7</f>
        <v>1756.8444444444444</v>
      </c>
      <c r="G8" s="139">
        <f>H8*F8</f>
        <v>2450798</v>
      </c>
      <c r="H8" s="143">
        <f>B8*D8</f>
        <v>1395</v>
      </c>
      <c r="J8" s="24"/>
      <c r="K8" s="4" t="s">
        <v>94</v>
      </c>
      <c r="M8" s="146"/>
      <c r="N8" s="190">
        <v>0</v>
      </c>
      <c r="O8" s="145"/>
      <c r="P8" s="143"/>
      <c r="R8" s="104"/>
      <c r="S8" s="168"/>
      <c r="T8" s="169" t="s">
        <v>16</v>
      </c>
      <c r="U8" s="170">
        <f>SUM(U6:U7)</f>
        <v>25000</v>
      </c>
      <c r="W8" s="48" t="s">
        <v>102</v>
      </c>
      <c r="X8" s="205"/>
    </row>
    <row r="9" spans="1:24" ht="15">
      <c r="A9" s="15"/>
      <c r="B9" s="162"/>
      <c r="C9" s="163"/>
      <c r="D9" s="139"/>
      <c r="E9" s="139"/>
      <c r="F9" s="139"/>
      <c r="G9" s="139"/>
      <c r="H9" s="143"/>
      <c r="J9" s="24"/>
      <c r="K9" s="4" t="s">
        <v>25</v>
      </c>
      <c r="M9" s="194">
        <v>0.015</v>
      </c>
      <c r="N9" s="139">
        <f>M9*O6</f>
        <v>45164.32669272877</v>
      </c>
      <c r="O9" s="145">
        <f>SUM(N7:N9)</f>
        <v>195712.082335158</v>
      </c>
      <c r="P9" s="143"/>
      <c r="R9" s="27"/>
      <c r="S9" s="165"/>
      <c r="T9" s="165"/>
      <c r="U9" s="165"/>
      <c r="W9" s="48" t="s">
        <v>103</v>
      </c>
      <c r="X9" s="205"/>
    </row>
    <row r="10" spans="1:24" ht="15">
      <c r="A10" s="15" t="s">
        <v>24</v>
      </c>
      <c r="B10" s="162">
        <f>B8</f>
        <v>69.75</v>
      </c>
      <c r="C10" s="189">
        <v>0.2</v>
      </c>
      <c r="D10" s="139">
        <f>$D$4*C10</f>
        <v>20</v>
      </c>
      <c r="E10" s="139"/>
      <c r="F10" s="190">
        <f>F6*0.55</f>
        <v>1380.377777777778</v>
      </c>
      <c r="G10" s="139">
        <f>H10*F10</f>
        <v>1925627.0000000002</v>
      </c>
      <c r="H10" s="143">
        <f>B10*D10</f>
        <v>1395</v>
      </c>
      <c r="J10" s="24"/>
      <c r="M10" s="46"/>
      <c r="N10" s="145"/>
      <c r="O10" s="145"/>
      <c r="P10" s="143"/>
      <c r="R10" s="105"/>
      <c r="S10" s="165"/>
      <c r="T10" s="165"/>
      <c r="U10" s="171"/>
      <c r="W10" s="48" t="s">
        <v>104</v>
      </c>
      <c r="X10" s="205"/>
    </row>
    <row r="11" spans="1:25" ht="15">
      <c r="A11" s="15"/>
      <c r="B11" s="162"/>
      <c r="C11" s="163"/>
      <c r="D11" s="139"/>
      <c r="E11" s="139"/>
      <c r="F11" s="139"/>
      <c r="G11" s="139"/>
      <c r="H11" s="143"/>
      <c r="J11" s="24" t="s">
        <v>27</v>
      </c>
      <c r="M11" s="46"/>
      <c r="N11" s="145"/>
      <c r="O11" s="145"/>
      <c r="P11" s="143"/>
      <c r="R11" s="105"/>
      <c r="S11" s="165"/>
      <c r="T11" s="165"/>
      <c r="U11" s="165"/>
      <c r="W11" s="48" t="s">
        <v>124</v>
      </c>
      <c r="X11" s="215">
        <f>X4*Y11</f>
        <v>161.72746331236897</v>
      </c>
      <c r="Y11" s="216">
        <v>0.2</v>
      </c>
    </row>
    <row r="12" spans="1:24" ht="15">
      <c r="A12" s="15" t="s">
        <v>26</v>
      </c>
      <c r="B12" s="162">
        <f>B10</f>
        <v>69.75</v>
      </c>
      <c r="C12" s="189">
        <v>0</v>
      </c>
      <c r="D12" s="139">
        <f>$D$4*C12</f>
        <v>0</v>
      </c>
      <c r="E12" s="139"/>
      <c r="F12" s="190">
        <f>F6*0.45</f>
        <v>1129.4</v>
      </c>
      <c r="G12" s="139">
        <f>H12*F12</f>
        <v>0</v>
      </c>
      <c r="H12" s="143">
        <f>B12*D12</f>
        <v>0</v>
      </c>
      <c r="J12" s="24"/>
      <c r="K12" s="4" t="s">
        <v>28</v>
      </c>
      <c r="M12" s="146"/>
      <c r="N12" s="145">
        <f>U8</f>
        <v>25000</v>
      </c>
      <c r="O12" s="145"/>
      <c r="P12" s="143"/>
      <c r="R12" s="13" t="s">
        <v>95</v>
      </c>
      <c r="S12" s="172"/>
      <c r="T12" s="173"/>
      <c r="U12" s="174"/>
      <c r="W12" s="33"/>
      <c r="X12" s="203">
        <f>SUM(X4:X11)</f>
        <v>1038.3647798742138</v>
      </c>
    </row>
    <row r="13" spans="1:21" ht="15">
      <c r="A13" s="15"/>
      <c r="B13" s="146"/>
      <c r="C13" s="146"/>
      <c r="D13" s="139"/>
      <c r="E13" s="139"/>
      <c r="F13" s="139"/>
      <c r="G13" s="139"/>
      <c r="H13" s="143"/>
      <c r="J13" s="24"/>
      <c r="K13" s="4" t="s">
        <v>31</v>
      </c>
      <c r="M13" s="194">
        <v>0.06</v>
      </c>
      <c r="N13" s="139">
        <f>O22*M13</f>
        <v>656469</v>
      </c>
      <c r="O13" s="145"/>
      <c r="P13" s="143"/>
      <c r="R13" s="106" t="s">
        <v>29</v>
      </c>
      <c r="S13" s="46"/>
      <c r="T13" s="46"/>
      <c r="U13" s="175">
        <f>O6</f>
        <v>3010955.1128485845</v>
      </c>
    </row>
    <row r="14" spans="1:21" ht="15">
      <c r="A14" s="15" t="s">
        <v>30</v>
      </c>
      <c r="B14" s="99" t="s">
        <v>22</v>
      </c>
      <c r="C14" s="146"/>
      <c r="D14" s="139"/>
      <c r="E14" s="139"/>
      <c r="F14" s="190">
        <v>0</v>
      </c>
      <c r="G14" s="139">
        <f>D8*F14</f>
        <v>0</v>
      </c>
      <c r="H14" s="143"/>
      <c r="J14" s="24"/>
      <c r="K14" s="4" t="s">
        <v>32</v>
      </c>
      <c r="M14" s="194">
        <v>0.01</v>
      </c>
      <c r="N14" s="139">
        <f>O22*M14</f>
        <v>109411.5</v>
      </c>
      <c r="O14" s="145"/>
      <c r="P14" s="143"/>
      <c r="R14" s="107">
        <v>125000</v>
      </c>
      <c r="S14" s="213">
        <v>0</v>
      </c>
      <c r="T14" s="176">
        <f>IF($U$13&lt;R14,0,S15)</f>
        <v>0.01</v>
      </c>
      <c r="U14" s="177"/>
    </row>
    <row r="15" spans="1:21" ht="15">
      <c r="A15" s="15"/>
      <c r="B15" s="99" t="s">
        <v>24</v>
      </c>
      <c r="C15" s="146"/>
      <c r="D15" s="139"/>
      <c r="E15" s="139"/>
      <c r="F15" s="190">
        <v>0</v>
      </c>
      <c r="G15" s="139">
        <f>D10*F15</f>
        <v>0</v>
      </c>
      <c r="H15" s="143"/>
      <c r="J15" s="24"/>
      <c r="K15" s="4" t="s">
        <v>33</v>
      </c>
      <c r="M15" s="194">
        <v>0.005</v>
      </c>
      <c r="N15" s="139">
        <f>O22*M15</f>
        <v>54705.75</v>
      </c>
      <c r="O15" s="145"/>
      <c r="P15" s="143"/>
      <c r="R15" s="107">
        <v>250000</v>
      </c>
      <c r="S15" s="213">
        <v>0.01</v>
      </c>
      <c r="T15" s="176">
        <f>IF($U$13&lt;R15,0,S16)</f>
        <v>0.03</v>
      </c>
      <c r="U15" s="177"/>
    </row>
    <row r="16" spans="1:21" ht="15">
      <c r="A16" s="15"/>
      <c r="B16" s="99" t="s">
        <v>26</v>
      </c>
      <c r="C16" s="146"/>
      <c r="D16" s="139"/>
      <c r="E16" s="139"/>
      <c r="F16" s="190">
        <v>0</v>
      </c>
      <c r="G16" s="139">
        <f>D12*F16</f>
        <v>0</v>
      </c>
      <c r="H16" s="143"/>
      <c r="J16" s="24"/>
      <c r="K16" s="4" t="s">
        <v>34</v>
      </c>
      <c r="M16" s="194">
        <v>0.025</v>
      </c>
      <c r="N16" s="139">
        <f>O22*M16</f>
        <v>273528.75</v>
      </c>
      <c r="O16" s="145">
        <f>SUM(N12:N16)</f>
        <v>1119115</v>
      </c>
      <c r="P16" s="143"/>
      <c r="R16" s="107">
        <v>500000</v>
      </c>
      <c r="S16" s="213">
        <v>0.03</v>
      </c>
      <c r="T16" s="176">
        <f>IF($U$13&lt;R16,0,S17)</f>
        <v>0.04</v>
      </c>
      <c r="U16" s="177"/>
    </row>
    <row r="17" spans="1:21" ht="15">
      <c r="A17" s="15"/>
      <c r="B17" s="146"/>
      <c r="C17" s="146"/>
      <c r="D17" s="139"/>
      <c r="E17" s="139"/>
      <c r="F17" s="139"/>
      <c r="G17" s="139"/>
      <c r="H17" s="143"/>
      <c r="J17" s="24"/>
      <c r="K17" s="31"/>
      <c r="L17" s="31"/>
      <c r="M17" s="146"/>
      <c r="N17" s="139"/>
      <c r="O17" s="46"/>
      <c r="P17" s="143"/>
      <c r="R17" s="107">
        <v>1000000</v>
      </c>
      <c r="S17" s="213">
        <v>0.04</v>
      </c>
      <c r="T17" s="176">
        <f>IF($U$13&lt;R17,0,S18)</f>
        <v>0.05</v>
      </c>
      <c r="U17" s="177"/>
    </row>
    <row r="18" spans="1:21" ht="15">
      <c r="A18" s="15" t="s">
        <v>119</v>
      </c>
      <c r="B18" s="219">
        <f>'Site make up'!D35</f>
        <v>3.3</v>
      </c>
      <c r="C18" s="99" t="s">
        <v>35</v>
      </c>
      <c r="D18" s="139">
        <f>D4/B18</f>
        <v>30.303030303030305</v>
      </c>
      <c r="E18" s="206" t="s">
        <v>36</v>
      </c>
      <c r="F18" s="139"/>
      <c r="G18" s="207">
        <f>SUM(G6:G16)</f>
        <v>21317425</v>
      </c>
      <c r="H18" s="208">
        <f>SUM(H6:H16)</f>
        <v>9540</v>
      </c>
      <c r="J18" s="24" t="s">
        <v>38</v>
      </c>
      <c r="M18" s="46"/>
      <c r="N18" s="145"/>
      <c r="O18" s="145"/>
      <c r="P18" s="143"/>
      <c r="R18" s="32" t="s">
        <v>37</v>
      </c>
      <c r="S18" s="213">
        <v>0.05</v>
      </c>
      <c r="T18" s="178">
        <f>MAX(T14:T17)</f>
        <v>0.05</v>
      </c>
      <c r="U18" s="177"/>
    </row>
    <row r="19" spans="1:21" ht="13.5" thickBot="1">
      <c r="A19" s="30" t="s">
        <v>120</v>
      </c>
      <c r="B19" s="210">
        <v>5.5</v>
      </c>
      <c r="C19" s="50" t="s">
        <v>35</v>
      </c>
      <c r="D19" s="148">
        <f>D4/B19</f>
        <v>18.181818181818183</v>
      </c>
      <c r="E19" s="164" t="s">
        <v>36</v>
      </c>
      <c r="F19" s="50"/>
      <c r="G19" s="50"/>
      <c r="H19" s="209"/>
      <c r="J19" s="24"/>
      <c r="K19" s="4" t="s">
        <v>40</v>
      </c>
      <c r="M19" s="139">
        <f>X12</f>
        <v>1038.3647798742138</v>
      </c>
      <c r="N19" s="139">
        <f>H18*M19</f>
        <v>9906000</v>
      </c>
      <c r="O19" s="145"/>
      <c r="P19" s="143"/>
      <c r="R19" s="33"/>
      <c r="S19" s="179"/>
      <c r="T19" s="169" t="s">
        <v>16</v>
      </c>
      <c r="U19" s="180">
        <f>T18*U13</f>
        <v>150547.75564242923</v>
      </c>
    </row>
    <row r="20" spans="10:21" ht="15">
      <c r="J20" s="24"/>
      <c r="K20" s="4" t="s">
        <v>43</v>
      </c>
      <c r="M20" s="139"/>
      <c r="N20" s="139">
        <f>U24</f>
        <v>537500</v>
      </c>
      <c r="O20" s="145"/>
      <c r="P20" s="143"/>
      <c r="S20" s="46"/>
      <c r="T20" s="46"/>
      <c r="U20" s="46"/>
    </row>
    <row r="21" spans="10:21" ht="15">
      <c r="J21" s="24"/>
      <c r="K21" s="4" t="s">
        <v>44</v>
      </c>
      <c r="M21" s="194">
        <v>0.025</v>
      </c>
      <c r="N21" s="139">
        <f>M21*$N$19</f>
        <v>247650</v>
      </c>
      <c r="O21" s="145"/>
      <c r="P21" s="143"/>
      <c r="R21"/>
      <c r="S21"/>
      <c r="T21"/>
      <c r="U21"/>
    </row>
    <row r="22" spans="1:21" ht="15">
      <c r="A22" s="34" t="s">
        <v>39</v>
      </c>
      <c r="B22" s="191">
        <v>8</v>
      </c>
      <c r="C22" s="35"/>
      <c r="J22" s="24"/>
      <c r="K22" s="4" t="s">
        <v>46</v>
      </c>
      <c r="M22" s="144"/>
      <c r="N22" s="190">
        <v>250000</v>
      </c>
      <c r="O22" s="145">
        <f>SUM(N19:N22)</f>
        <v>10941150</v>
      </c>
      <c r="P22" s="143"/>
      <c r="R22" s="124" t="s">
        <v>92</v>
      </c>
      <c r="S22" s="199">
        <v>2000</v>
      </c>
      <c r="T22" s="181" t="s">
        <v>91</v>
      </c>
      <c r="U22" s="182"/>
    </row>
    <row r="23" spans="1:21" ht="15">
      <c r="A23" s="33" t="s">
        <v>41</v>
      </c>
      <c r="B23" s="192">
        <v>3</v>
      </c>
      <c r="C23" s="36" t="s">
        <v>42</v>
      </c>
      <c r="E23" s="37"/>
      <c r="F23" s="38"/>
      <c r="J23" s="15"/>
      <c r="M23" s="46"/>
      <c r="N23" s="46"/>
      <c r="O23" s="46"/>
      <c r="P23" s="143"/>
      <c r="R23" s="48" t="s">
        <v>123</v>
      </c>
      <c r="S23" s="214">
        <v>50</v>
      </c>
      <c r="T23" s="17" t="s">
        <v>10</v>
      </c>
      <c r="U23" s="120"/>
    </row>
    <row r="24" spans="5:21" ht="15">
      <c r="E24" s="41"/>
      <c r="F24" s="41"/>
      <c r="G24" s="42" t="s">
        <v>48</v>
      </c>
      <c r="J24" s="24" t="s">
        <v>51</v>
      </c>
      <c r="M24" s="46"/>
      <c r="N24" s="145"/>
      <c r="O24" s="145"/>
      <c r="P24" s="143"/>
      <c r="R24" s="125"/>
      <c r="S24" s="183"/>
      <c r="T24" s="184" t="s">
        <v>16</v>
      </c>
      <c r="U24" s="185">
        <f>(D4*S22)+(S23*H6)</f>
        <v>537500</v>
      </c>
    </row>
    <row r="25" spans="2:21" ht="15.75" thickBot="1">
      <c r="B25" s="17"/>
      <c r="C25" s="17" t="s">
        <v>45</v>
      </c>
      <c r="D25" s="19" t="s">
        <v>121</v>
      </c>
      <c r="E25" s="19" t="s">
        <v>122</v>
      </c>
      <c r="H25" s="43" t="s">
        <v>50</v>
      </c>
      <c r="I25" s="44">
        <f>Z82</f>
        <v>1107373.7730888412</v>
      </c>
      <c r="J25" s="24"/>
      <c r="K25" s="4" t="s">
        <v>53</v>
      </c>
      <c r="M25" s="146"/>
      <c r="N25" s="190">
        <v>10000</v>
      </c>
      <c r="O25" s="145"/>
      <c r="P25" s="143"/>
      <c r="R25"/>
      <c r="S25"/>
      <c r="T25"/>
      <c r="U25"/>
    </row>
    <row r="26" spans="1:21" ht="15.75" thickBot="1">
      <c r="A26" s="39" t="s">
        <v>47</v>
      </c>
      <c r="B26" s="40"/>
      <c r="C26" s="138">
        <f>C74</f>
        <v>3010955.1128485845</v>
      </c>
      <c r="D26" s="138">
        <f>C26/B18</f>
        <v>912410.6402571469</v>
      </c>
      <c r="E26" s="211">
        <f>C26/B19</f>
        <v>547446.3841542881</v>
      </c>
      <c r="F26" s="37"/>
      <c r="G26" s="45"/>
      <c r="J26" s="24"/>
      <c r="K26" s="4" t="s">
        <v>55</v>
      </c>
      <c r="M26" s="194">
        <v>0.07</v>
      </c>
      <c r="N26" s="139"/>
      <c r="O26" s="145"/>
      <c r="P26" s="143"/>
      <c r="R26"/>
      <c r="S26"/>
      <c r="T26"/>
      <c r="U26"/>
    </row>
    <row r="27" spans="1:21" ht="15">
      <c r="A27" s="29" t="s">
        <v>49</v>
      </c>
      <c r="B27" s="28"/>
      <c r="C27" s="139">
        <f>E27*B19</f>
        <v>137500</v>
      </c>
      <c r="D27" s="139"/>
      <c r="E27" s="200">
        <v>25000</v>
      </c>
      <c r="G27" s="47"/>
      <c r="J27" s="24"/>
      <c r="K27" s="4" t="s">
        <v>56</v>
      </c>
      <c r="M27" s="146"/>
      <c r="N27" s="190">
        <v>7500</v>
      </c>
      <c r="O27" s="145">
        <f>SUM(N25:N27)</f>
        <v>17500</v>
      </c>
      <c r="P27" s="143"/>
      <c r="R27"/>
      <c r="S27"/>
      <c r="T27"/>
      <c r="U27"/>
    </row>
    <row r="28" spans="1:21" ht="15">
      <c r="A28" s="4" t="s">
        <v>52</v>
      </c>
      <c r="B28" s="201">
        <v>0.2</v>
      </c>
      <c r="C28" s="139">
        <f>C27*B28</f>
        <v>27500</v>
      </c>
      <c r="D28" s="139"/>
      <c r="E28" s="140">
        <f>(E27*B28)</f>
        <v>5000</v>
      </c>
      <c r="H28" s="43"/>
      <c r="I28" s="44"/>
      <c r="J28" s="24"/>
      <c r="M28" s="146"/>
      <c r="N28" s="145"/>
      <c r="O28" s="46"/>
      <c r="P28" s="143"/>
      <c r="R28"/>
      <c r="S28"/>
      <c r="T28"/>
      <c r="U28"/>
    </row>
    <row r="29" spans="1:16" ht="13.5" thickBot="1">
      <c r="A29" s="46" t="s">
        <v>54</v>
      </c>
      <c r="B29" s="202">
        <v>300000</v>
      </c>
      <c r="C29" s="139">
        <f>B29*B19</f>
        <v>1650000</v>
      </c>
      <c r="D29" s="139"/>
      <c r="E29" s="140">
        <f>B29</f>
        <v>300000</v>
      </c>
      <c r="J29" s="24" t="s">
        <v>58</v>
      </c>
      <c r="M29" s="46"/>
      <c r="N29" s="145"/>
      <c r="O29" s="145"/>
      <c r="P29" s="143"/>
    </row>
    <row r="30" spans="1:16" ht="13.5" thickBot="1">
      <c r="A30" s="39"/>
      <c r="B30" s="137" t="s">
        <v>87</v>
      </c>
      <c r="C30" s="186">
        <f>C27+C28+C29</f>
        <v>1815000</v>
      </c>
      <c r="D30" s="212"/>
      <c r="E30" s="141">
        <f>E27+E28+E29</f>
        <v>330000</v>
      </c>
      <c r="G30" s="100" t="s">
        <v>57</v>
      </c>
      <c r="H30" s="12"/>
      <c r="J30" s="24"/>
      <c r="K30" s="4" t="s">
        <v>59</v>
      </c>
      <c r="M30" s="195">
        <v>0.02</v>
      </c>
      <c r="N30" s="139">
        <f>(SUM(G6:G12))*M30</f>
        <v>426348.5</v>
      </c>
      <c r="O30" s="145"/>
      <c r="P30" s="143"/>
    </row>
    <row r="31" spans="2:16" ht="13.5" thickBot="1">
      <c r="B31" s="17"/>
      <c r="C31" s="46"/>
      <c r="D31" s="46"/>
      <c r="G31" s="289" t="str">
        <f>IF(AA41=D4,"correct","WRONG")</f>
        <v>correct</v>
      </c>
      <c r="H31" s="290"/>
      <c r="J31" s="24"/>
      <c r="K31" s="4" t="s">
        <v>60</v>
      </c>
      <c r="M31" s="196">
        <v>0.005</v>
      </c>
      <c r="N31" s="139">
        <f>(SUM(G6:G12))*M31</f>
        <v>106587.125</v>
      </c>
      <c r="O31" s="145"/>
      <c r="P31" s="143"/>
    </row>
    <row r="32" spans="1:16" ht="15.75" thickBot="1">
      <c r="A32"/>
      <c r="B32"/>
      <c r="C32"/>
      <c r="D32"/>
      <c r="H32" s="16" t="str">
        <f>IF(AA41=D4,"","WRONG")</f>
        <v/>
      </c>
      <c r="J32" s="49"/>
      <c r="K32" s="50" t="s">
        <v>61</v>
      </c>
      <c r="L32" s="50"/>
      <c r="M32" s="147"/>
      <c r="N32" s="197">
        <v>5000</v>
      </c>
      <c r="O32" s="149">
        <f>SUM(N30:N32)</f>
        <v>537935.625</v>
      </c>
      <c r="P32" s="150">
        <f>SUM(O6:O32)</f>
        <v>15822367.820183743</v>
      </c>
    </row>
    <row r="33" spans="1:16" ht="12.75" customHeight="1" thickBot="1">
      <c r="A33"/>
      <c r="B33"/>
      <c r="C33"/>
      <c r="D33"/>
      <c r="G33" s="16" t="str">
        <f>IF(AA41=D4,"","WRONG")</f>
        <v/>
      </c>
      <c r="H33" s="16" t="str">
        <f>IF(AA41=D4,"","WRONG")</f>
        <v/>
      </c>
      <c r="M33" s="46"/>
      <c r="N33" s="46"/>
      <c r="O33" s="46"/>
      <c r="P33" s="46"/>
    </row>
    <row r="34" spans="10:16" ht="12.75" customHeight="1">
      <c r="J34" s="8" t="s">
        <v>62</v>
      </c>
      <c r="K34" s="51"/>
      <c r="L34" s="51"/>
      <c r="M34" s="151"/>
      <c r="N34" s="151"/>
      <c r="O34" s="152"/>
      <c r="P34" s="153"/>
    </row>
    <row r="35" spans="10:16" ht="12.75" customHeight="1">
      <c r="J35" s="15"/>
      <c r="K35" s="122" t="s">
        <v>63</v>
      </c>
      <c r="M35" s="194">
        <v>0.2</v>
      </c>
      <c r="N35" s="46"/>
      <c r="O35" s="46"/>
      <c r="P35" s="154">
        <f>P32*M35</f>
        <v>3164473.564036749</v>
      </c>
    </row>
    <row r="36" spans="10:16" ht="12.75" customHeight="1" thickBot="1">
      <c r="J36" s="30"/>
      <c r="K36" s="123" t="s">
        <v>88</v>
      </c>
      <c r="L36" s="50"/>
      <c r="M36" s="198">
        <v>0</v>
      </c>
      <c r="N36" s="155"/>
      <c r="O36" s="155"/>
      <c r="P36" s="156">
        <f>G18*M36</f>
        <v>0</v>
      </c>
    </row>
    <row r="38" spans="1:24" ht="12.75" customHeight="1" thickBot="1">
      <c r="A38" s="47" t="s">
        <v>64</v>
      </c>
      <c r="D38" s="53" t="s">
        <v>65</v>
      </c>
      <c r="H38" s="53" t="s">
        <v>66</v>
      </c>
      <c r="L38" s="53" t="s">
        <v>67</v>
      </c>
      <c r="P38" s="53" t="s">
        <v>68</v>
      </c>
      <c r="T38" s="53" t="s">
        <v>69</v>
      </c>
      <c r="X38" s="53" t="s">
        <v>70</v>
      </c>
    </row>
    <row r="39" spans="1:27" ht="12.75" customHeight="1">
      <c r="A39" s="54"/>
      <c r="B39" s="51"/>
      <c r="C39" s="55" t="s">
        <v>71</v>
      </c>
      <c r="D39" s="6" t="s">
        <v>72</v>
      </c>
      <c r="E39" s="6" t="s">
        <v>73</v>
      </c>
      <c r="F39" s="56" t="s">
        <v>74</v>
      </c>
      <c r="G39" s="6" t="s">
        <v>71</v>
      </c>
      <c r="H39" s="6" t="s">
        <v>72</v>
      </c>
      <c r="I39" s="6" t="s">
        <v>73</v>
      </c>
      <c r="J39" s="6" t="s">
        <v>74</v>
      </c>
      <c r="K39" s="55" t="s">
        <v>71</v>
      </c>
      <c r="L39" s="6" t="s">
        <v>72</v>
      </c>
      <c r="M39" s="6" t="s">
        <v>73</v>
      </c>
      <c r="N39" s="56" t="s">
        <v>74</v>
      </c>
      <c r="O39" s="6" t="s">
        <v>71</v>
      </c>
      <c r="P39" s="6" t="s">
        <v>72</v>
      </c>
      <c r="Q39" s="6" t="s">
        <v>73</v>
      </c>
      <c r="R39" s="6" t="s">
        <v>74</v>
      </c>
      <c r="S39" s="55" t="s">
        <v>71</v>
      </c>
      <c r="T39" s="6" t="s">
        <v>72</v>
      </c>
      <c r="U39" s="6" t="s">
        <v>73</v>
      </c>
      <c r="V39" s="56" t="s">
        <v>74</v>
      </c>
      <c r="W39" s="6" t="s">
        <v>71</v>
      </c>
      <c r="X39" s="6" t="s">
        <v>72</v>
      </c>
      <c r="Y39" s="6" t="s">
        <v>73</v>
      </c>
      <c r="Z39" s="7" t="s">
        <v>74</v>
      </c>
      <c r="AA39" s="17"/>
    </row>
    <row r="40" spans="1:27" ht="12.75" customHeight="1">
      <c r="A40" s="57" t="s">
        <v>0</v>
      </c>
      <c r="C40" s="58"/>
      <c r="D40" s="59"/>
      <c r="E40" s="59"/>
      <c r="F40" s="60"/>
      <c r="G40" s="59"/>
      <c r="H40" s="59"/>
      <c r="I40" s="59"/>
      <c r="J40" s="59"/>
      <c r="K40" s="58"/>
      <c r="L40" s="59"/>
      <c r="M40" s="59"/>
      <c r="N40" s="60"/>
      <c r="O40" s="59"/>
      <c r="P40" s="59"/>
      <c r="Q40" s="59"/>
      <c r="R40" s="59"/>
      <c r="S40" s="61"/>
      <c r="T40" s="17"/>
      <c r="U40" s="17"/>
      <c r="V40" s="62"/>
      <c r="W40" s="17"/>
      <c r="X40" s="17"/>
      <c r="Y40" s="17"/>
      <c r="Z40" s="23"/>
      <c r="AA40" s="17"/>
    </row>
    <row r="41" spans="1:28" ht="12.75" customHeight="1">
      <c r="A41" s="15" t="s">
        <v>75</v>
      </c>
      <c r="C41" s="220"/>
      <c r="D41" s="221"/>
      <c r="E41" s="64">
        <v>4</v>
      </c>
      <c r="F41" s="65">
        <v>8</v>
      </c>
      <c r="G41" s="64">
        <v>8</v>
      </c>
      <c r="H41" s="64">
        <v>8</v>
      </c>
      <c r="I41" s="64">
        <v>8</v>
      </c>
      <c r="J41" s="64">
        <v>8</v>
      </c>
      <c r="K41" s="63">
        <v>8</v>
      </c>
      <c r="L41" s="64">
        <v>8</v>
      </c>
      <c r="M41" s="64">
        <v>8</v>
      </c>
      <c r="N41" s="65">
        <v>8</v>
      </c>
      <c r="O41" s="64">
        <v>8</v>
      </c>
      <c r="P41" s="64">
        <v>8</v>
      </c>
      <c r="Q41" s="64">
        <v>8</v>
      </c>
      <c r="R41" s="64"/>
      <c r="S41" s="66"/>
      <c r="T41" s="67"/>
      <c r="U41" s="67"/>
      <c r="V41" s="68"/>
      <c r="W41" s="28"/>
      <c r="X41" s="28"/>
      <c r="Y41" s="28"/>
      <c r="Z41" s="222"/>
      <c r="AA41" s="26">
        <f>SUM(E41:Z41)</f>
        <v>100</v>
      </c>
      <c r="AB41" s="121">
        <f>AA41-D4</f>
        <v>0</v>
      </c>
    </row>
    <row r="42" spans="1:27" ht="12.75" customHeight="1">
      <c r="A42" s="15" t="s">
        <v>18</v>
      </c>
      <c r="C42" s="58"/>
      <c r="D42" s="59"/>
      <c r="E42" s="59"/>
      <c r="F42" s="60"/>
      <c r="G42" s="59">
        <f>(C41/$D$4)*$G$6</f>
        <v>0</v>
      </c>
      <c r="H42" s="59">
        <f>(D41/$D$4)*$G$6</f>
        <v>0</v>
      </c>
      <c r="I42" s="59">
        <f>(E41/$D$4)*$G$6</f>
        <v>677640</v>
      </c>
      <c r="J42" s="59">
        <f aca="true" t="shared" si="0" ref="J42:Z42">(F41/$D$4)*$G$6</f>
        <v>1355280</v>
      </c>
      <c r="K42" s="58">
        <f>(G41/$D$4)*$G$6</f>
        <v>1355280</v>
      </c>
      <c r="L42" s="59">
        <f>(H41/$D$4)*$G$6</f>
        <v>1355280</v>
      </c>
      <c r="M42" s="59">
        <f>(I41/$D$4)*$G$6</f>
        <v>1355280</v>
      </c>
      <c r="N42" s="60">
        <f>(J41/$D$4)*$G$6</f>
        <v>1355280</v>
      </c>
      <c r="O42" s="59">
        <f t="shared" si="0"/>
        <v>1355280</v>
      </c>
      <c r="P42" s="59">
        <f t="shared" si="0"/>
        <v>1355280</v>
      </c>
      <c r="Q42" s="59">
        <f t="shared" si="0"/>
        <v>1355280</v>
      </c>
      <c r="R42" s="59">
        <f>(N41/$D$4)*$G$6</f>
        <v>1355280</v>
      </c>
      <c r="S42" s="58">
        <f>(O41/$D$4)*$G$6</f>
        <v>1355280</v>
      </c>
      <c r="T42" s="59">
        <f>(P41/$D$4)*$G$6</f>
        <v>1355280</v>
      </c>
      <c r="U42" s="59">
        <f>(Q41/$D$4)*$G$6</f>
        <v>1355280</v>
      </c>
      <c r="V42" s="60">
        <f t="shared" si="0"/>
        <v>0</v>
      </c>
      <c r="W42" s="59">
        <f t="shared" si="0"/>
        <v>0</v>
      </c>
      <c r="X42" s="59">
        <f t="shared" si="0"/>
        <v>0</v>
      </c>
      <c r="Y42" s="59">
        <f t="shared" si="0"/>
        <v>0</v>
      </c>
      <c r="Z42" s="69">
        <f t="shared" si="0"/>
        <v>0</v>
      </c>
      <c r="AA42" s="17"/>
    </row>
    <row r="43" spans="1:27" ht="12.75" customHeight="1">
      <c r="A43" s="15" t="s">
        <v>22</v>
      </c>
      <c r="C43" s="58"/>
      <c r="D43" s="59"/>
      <c r="E43" s="59"/>
      <c r="F43" s="60"/>
      <c r="G43" s="59">
        <f>(C41/$D$4)*$G$8</f>
        <v>0</v>
      </c>
      <c r="H43" s="59">
        <f>(D41/$D$4)*$G$8</f>
        <v>0</v>
      </c>
      <c r="I43" s="59">
        <f>(E41/$D$4)*$G$8</f>
        <v>98031.92</v>
      </c>
      <c r="J43" s="59">
        <f aca="true" t="shared" si="1" ref="J43:Z43">(F41/$D$4)*$G$8</f>
        <v>196063.84</v>
      </c>
      <c r="K43" s="58">
        <f>(G41/$D$4)*$G$8</f>
        <v>196063.84</v>
      </c>
      <c r="L43" s="59">
        <f>(H41/$D$4)*$G$8</f>
        <v>196063.84</v>
      </c>
      <c r="M43" s="59">
        <f>(I41/$D$4)*$G$8</f>
        <v>196063.84</v>
      </c>
      <c r="N43" s="60">
        <f>(J41/$D$4)*$G$8</f>
        <v>196063.84</v>
      </c>
      <c r="O43" s="59">
        <f t="shared" si="1"/>
        <v>196063.84</v>
      </c>
      <c r="P43" s="59">
        <f t="shared" si="1"/>
        <v>196063.84</v>
      </c>
      <c r="Q43" s="59">
        <f t="shared" si="1"/>
        <v>196063.84</v>
      </c>
      <c r="R43" s="59">
        <f>(N41/$D$4)*$G$8</f>
        <v>196063.84</v>
      </c>
      <c r="S43" s="58">
        <f>(O41/$D$4)*$G$8</f>
        <v>196063.84</v>
      </c>
      <c r="T43" s="59">
        <f>(P41/$D$4)*$G$8</f>
        <v>196063.84</v>
      </c>
      <c r="U43" s="59">
        <f>(Q41/$D$4)*$G$8</f>
        <v>196063.84</v>
      </c>
      <c r="V43" s="60">
        <f t="shared" si="1"/>
        <v>0</v>
      </c>
      <c r="W43" s="59">
        <f t="shared" si="1"/>
        <v>0</v>
      </c>
      <c r="X43" s="59">
        <f t="shared" si="1"/>
        <v>0</v>
      </c>
      <c r="Y43" s="59">
        <f t="shared" si="1"/>
        <v>0</v>
      </c>
      <c r="Z43" s="69">
        <f t="shared" si="1"/>
        <v>0</v>
      </c>
      <c r="AA43" s="17"/>
    </row>
    <row r="44" spans="1:27" ht="12.75" customHeight="1">
      <c r="A44" s="15" t="s">
        <v>24</v>
      </c>
      <c r="C44" s="58"/>
      <c r="D44" s="59"/>
      <c r="E44" s="59"/>
      <c r="F44" s="60"/>
      <c r="G44" s="59">
        <f>(C41/$D$4)*$G$10</f>
        <v>0</v>
      </c>
      <c r="H44" s="59">
        <f>(D41/$D$4)*$G$10</f>
        <v>0</v>
      </c>
      <c r="I44" s="59">
        <f>(E41/$D$4)*$G$10</f>
        <v>77025.08000000002</v>
      </c>
      <c r="J44" s="59">
        <f aca="true" t="shared" si="2" ref="J44:Z44">(F41/$D$4)*$G$10</f>
        <v>154050.16000000003</v>
      </c>
      <c r="K44" s="58">
        <f>(G41/$D$4)*$G$10</f>
        <v>154050.16000000003</v>
      </c>
      <c r="L44" s="59">
        <f>(H41/$D$4)*$G$10</f>
        <v>154050.16000000003</v>
      </c>
      <c r="M44" s="59">
        <f>(I41/$D$4)*$G$10</f>
        <v>154050.16000000003</v>
      </c>
      <c r="N44" s="60">
        <f>(J41/$D$4)*$G$10</f>
        <v>154050.16000000003</v>
      </c>
      <c r="O44" s="59">
        <f t="shared" si="2"/>
        <v>154050.16000000003</v>
      </c>
      <c r="P44" s="59">
        <f t="shared" si="2"/>
        <v>154050.16000000003</v>
      </c>
      <c r="Q44" s="59">
        <f t="shared" si="2"/>
        <v>154050.16000000003</v>
      </c>
      <c r="R44" s="59">
        <f>(N41/$D$4)*$G$10</f>
        <v>154050.16000000003</v>
      </c>
      <c r="S44" s="58">
        <f>(O41/$D$4)*$G$10</f>
        <v>154050.16000000003</v>
      </c>
      <c r="T44" s="59">
        <f>(P41/$D$4)*$G$10</f>
        <v>154050.16000000003</v>
      </c>
      <c r="U44" s="59">
        <f>(Q41/$D$4)*$G$10</f>
        <v>154050.16000000003</v>
      </c>
      <c r="V44" s="60">
        <f t="shared" si="2"/>
        <v>0</v>
      </c>
      <c r="W44" s="59">
        <f t="shared" si="2"/>
        <v>0</v>
      </c>
      <c r="X44" s="59">
        <f t="shared" si="2"/>
        <v>0</v>
      </c>
      <c r="Y44" s="59">
        <f t="shared" si="2"/>
        <v>0</v>
      </c>
      <c r="Z44" s="69">
        <f t="shared" si="2"/>
        <v>0</v>
      </c>
      <c r="AA44" s="17"/>
    </row>
    <row r="45" spans="1:27" ht="12.75" customHeight="1">
      <c r="A45" s="15" t="s">
        <v>26</v>
      </c>
      <c r="C45" s="58"/>
      <c r="D45" s="59"/>
      <c r="E45" s="59"/>
      <c r="F45" s="60"/>
      <c r="G45" s="59">
        <f>(C41/$D$4)*$G$12</f>
        <v>0</v>
      </c>
      <c r="H45" s="59">
        <f>(D41/$D$4)*$G$12</f>
        <v>0</v>
      </c>
      <c r="I45" s="59">
        <f>(E41/$D$4)*$G$12</f>
        <v>0</v>
      </c>
      <c r="J45" s="59">
        <f aca="true" t="shared" si="3" ref="J45:Z45">(F41/$D$4)*$G$12</f>
        <v>0</v>
      </c>
      <c r="K45" s="58">
        <f>(G41/$D$4)*$G$12</f>
        <v>0</v>
      </c>
      <c r="L45" s="59">
        <f>(H41/$D$4)*$G$12</f>
        <v>0</v>
      </c>
      <c r="M45" s="59">
        <f>(I41/$D$4)*$G$12</f>
        <v>0</v>
      </c>
      <c r="N45" s="60">
        <f>(J41/$D$4)*$G$12</f>
        <v>0</v>
      </c>
      <c r="O45" s="59">
        <f t="shared" si="3"/>
        <v>0</v>
      </c>
      <c r="P45" s="59">
        <f t="shared" si="3"/>
        <v>0</v>
      </c>
      <c r="Q45" s="59">
        <f t="shared" si="3"/>
        <v>0</v>
      </c>
      <c r="R45" s="59">
        <f>(N41/$D$4)*$G$12</f>
        <v>0</v>
      </c>
      <c r="S45" s="58">
        <f>(O41/$D$4)*$G$12</f>
        <v>0</v>
      </c>
      <c r="T45" s="59">
        <f>(P41/$D$4)*$G$12</f>
        <v>0</v>
      </c>
      <c r="U45" s="59">
        <f>(Q41/$D$4)*$G$12</f>
        <v>0</v>
      </c>
      <c r="V45" s="60">
        <f t="shared" si="3"/>
        <v>0</v>
      </c>
      <c r="W45" s="59">
        <f t="shared" si="3"/>
        <v>0</v>
      </c>
      <c r="X45" s="59">
        <f t="shared" si="3"/>
        <v>0</v>
      </c>
      <c r="Y45" s="59">
        <f t="shared" si="3"/>
        <v>0</v>
      </c>
      <c r="Z45" s="69">
        <f t="shared" si="3"/>
        <v>0</v>
      </c>
      <c r="AA45" s="17"/>
    </row>
    <row r="46" spans="1:27" ht="12.75" customHeight="1">
      <c r="A46" s="15" t="s">
        <v>30</v>
      </c>
      <c r="C46" s="58"/>
      <c r="D46" s="59"/>
      <c r="E46" s="59"/>
      <c r="F46" s="60"/>
      <c r="G46" s="59">
        <f>(C41/$D$4)*($G$14+$G$15+$G$16)</f>
        <v>0</v>
      </c>
      <c r="H46" s="59">
        <f>(D41/$D$4)*($G$14+$G$15+$G$16)</f>
        <v>0</v>
      </c>
      <c r="I46" s="59">
        <f>(E41/$D$4)*($G$14+$G$15+$G$16)</f>
        <v>0</v>
      </c>
      <c r="J46" s="59">
        <f aca="true" t="shared" si="4" ref="J46:Z46">(F41/$D$4)*($G$14+$G$15+$G$16)</f>
        <v>0</v>
      </c>
      <c r="K46" s="58">
        <f>(G41/$D$4)*($G$14+$G$15+$G$16)</f>
        <v>0</v>
      </c>
      <c r="L46" s="59">
        <f>(H41/$D$4)*($G$14+$G$15+$G$16)</f>
        <v>0</v>
      </c>
      <c r="M46" s="59">
        <f>(I41/$D$4)*($G$14+$G$15+$G$16)</f>
        <v>0</v>
      </c>
      <c r="N46" s="60">
        <f>(J41/$D$4)*($G$14+$G$15+$G$16)</f>
        <v>0</v>
      </c>
      <c r="O46" s="59">
        <f t="shared" si="4"/>
        <v>0</v>
      </c>
      <c r="P46" s="59">
        <f t="shared" si="4"/>
        <v>0</v>
      </c>
      <c r="Q46" s="59">
        <f t="shared" si="4"/>
        <v>0</v>
      </c>
      <c r="R46" s="59">
        <f>(N41/$D$4)*($G$14+$G$15+$G$16)</f>
        <v>0</v>
      </c>
      <c r="S46" s="58">
        <f>(O41/$D$4)*($G$14+$G$15+$G$16)</f>
        <v>0</v>
      </c>
      <c r="T46" s="59">
        <f>(P41/$D$4)*($G$14+$G$15+$G$16)</f>
        <v>0</v>
      </c>
      <c r="U46" s="59">
        <f>(Q41/$D$4)*($G$14+$G$15+$G$16)</f>
        <v>0</v>
      </c>
      <c r="V46" s="60">
        <f t="shared" si="4"/>
        <v>0</v>
      </c>
      <c r="W46" s="59">
        <f t="shared" si="4"/>
        <v>0</v>
      </c>
      <c r="X46" s="59">
        <f t="shared" si="4"/>
        <v>0</v>
      </c>
      <c r="Y46" s="59">
        <f t="shared" si="4"/>
        <v>0</v>
      </c>
      <c r="Z46" s="69">
        <f t="shared" si="4"/>
        <v>0</v>
      </c>
      <c r="AA46" s="17"/>
    </row>
    <row r="47" spans="1:28" s="1" customFormat="1" ht="12.75" customHeight="1">
      <c r="A47" s="70" t="s">
        <v>0</v>
      </c>
      <c r="C47" s="71">
        <f>SUM(C42:C46)</f>
        <v>0</v>
      </c>
      <c r="D47" s="72">
        <f aca="true" t="shared" si="5" ref="D47:Z47">SUM(D42:D46)</f>
        <v>0</v>
      </c>
      <c r="E47" s="72">
        <f t="shared" si="5"/>
        <v>0</v>
      </c>
      <c r="F47" s="73">
        <f t="shared" si="5"/>
        <v>0</v>
      </c>
      <c r="G47" s="72">
        <f t="shared" si="5"/>
        <v>0</v>
      </c>
      <c r="H47" s="72">
        <f t="shared" si="5"/>
        <v>0</v>
      </c>
      <c r="I47" s="72">
        <f t="shared" si="5"/>
        <v>852697</v>
      </c>
      <c r="J47" s="72">
        <f t="shared" si="5"/>
        <v>1705394</v>
      </c>
      <c r="K47" s="71">
        <f t="shared" si="5"/>
        <v>1705394</v>
      </c>
      <c r="L47" s="72">
        <f t="shared" si="5"/>
        <v>1705394</v>
      </c>
      <c r="M47" s="72">
        <f t="shared" si="5"/>
        <v>1705394</v>
      </c>
      <c r="N47" s="73">
        <f t="shared" si="5"/>
        <v>1705394</v>
      </c>
      <c r="O47" s="72">
        <f t="shared" si="5"/>
        <v>1705394</v>
      </c>
      <c r="P47" s="72">
        <f t="shared" si="5"/>
        <v>1705394</v>
      </c>
      <c r="Q47" s="72">
        <f t="shared" si="5"/>
        <v>1705394</v>
      </c>
      <c r="R47" s="72">
        <f t="shared" si="5"/>
        <v>1705394</v>
      </c>
      <c r="S47" s="71">
        <f t="shared" si="5"/>
        <v>1705394</v>
      </c>
      <c r="T47" s="72">
        <f t="shared" si="5"/>
        <v>1705394</v>
      </c>
      <c r="U47" s="72">
        <f t="shared" si="5"/>
        <v>1705394</v>
      </c>
      <c r="V47" s="73">
        <f t="shared" si="5"/>
        <v>0</v>
      </c>
      <c r="W47" s="72">
        <f t="shared" si="5"/>
        <v>0</v>
      </c>
      <c r="X47" s="72">
        <f t="shared" si="5"/>
        <v>0</v>
      </c>
      <c r="Y47" s="72">
        <f t="shared" si="5"/>
        <v>0</v>
      </c>
      <c r="Z47" s="74">
        <f t="shared" si="5"/>
        <v>0</v>
      </c>
      <c r="AA47" s="75">
        <f>SUM(C47:Z47)</f>
        <v>21317425</v>
      </c>
      <c r="AB47" s="96">
        <f>AA47-G18</f>
        <v>0</v>
      </c>
    </row>
    <row r="48" spans="1:27" ht="12.75" customHeight="1">
      <c r="A48" s="15"/>
      <c r="C48" s="58"/>
      <c r="D48" s="59"/>
      <c r="E48" s="59"/>
      <c r="F48" s="60"/>
      <c r="G48" s="59"/>
      <c r="H48" s="59"/>
      <c r="I48" s="59"/>
      <c r="J48" s="59"/>
      <c r="K48" s="58"/>
      <c r="L48" s="59"/>
      <c r="M48" s="59"/>
      <c r="N48" s="60"/>
      <c r="O48" s="59"/>
      <c r="P48" s="59"/>
      <c r="Q48" s="59"/>
      <c r="R48" s="59"/>
      <c r="S48" s="61"/>
      <c r="T48" s="17"/>
      <c r="U48" s="17"/>
      <c r="V48" s="62"/>
      <c r="W48" s="17"/>
      <c r="X48" s="17"/>
      <c r="Y48" s="17"/>
      <c r="Z48" s="23"/>
      <c r="AA48" s="17"/>
    </row>
    <row r="49" spans="1:27" ht="12.75" customHeight="1">
      <c r="A49" s="57" t="s">
        <v>76</v>
      </c>
      <c r="C49" s="58"/>
      <c r="D49" s="59"/>
      <c r="E49" s="59"/>
      <c r="F49" s="60"/>
      <c r="G49" s="59"/>
      <c r="H49" s="59"/>
      <c r="I49" s="59"/>
      <c r="J49" s="59"/>
      <c r="K49" s="58"/>
      <c r="L49" s="59"/>
      <c r="M49" s="59"/>
      <c r="N49" s="60"/>
      <c r="O49" s="59"/>
      <c r="P49" s="59"/>
      <c r="Q49" s="59"/>
      <c r="R49" s="59"/>
      <c r="S49" s="61"/>
      <c r="T49" s="17"/>
      <c r="U49" s="17"/>
      <c r="V49" s="62"/>
      <c r="W49" s="17"/>
      <c r="X49" s="17"/>
      <c r="Y49" s="17"/>
      <c r="Z49" s="23"/>
      <c r="AA49" s="17"/>
    </row>
    <row r="50" spans="1:28" ht="12.75" customHeight="1">
      <c r="A50" s="15" t="s">
        <v>23</v>
      </c>
      <c r="C50" s="58">
        <f>N7</f>
        <v>150547.75564242923</v>
      </c>
      <c r="D50" s="59"/>
      <c r="E50" s="59"/>
      <c r="F50" s="60"/>
      <c r="G50" s="59"/>
      <c r="H50" s="59"/>
      <c r="I50" s="59"/>
      <c r="J50" s="59"/>
      <c r="K50" s="58"/>
      <c r="L50" s="59"/>
      <c r="M50" s="59"/>
      <c r="N50" s="60"/>
      <c r="O50" s="59"/>
      <c r="P50" s="59"/>
      <c r="Q50" s="59"/>
      <c r="R50" s="59"/>
      <c r="S50" s="61"/>
      <c r="T50" s="17"/>
      <c r="U50" s="17"/>
      <c r="V50" s="62"/>
      <c r="W50" s="17"/>
      <c r="X50" s="17"/>
      <c r="Y50" s="17"/>
      <c r="Z50" s="23"/>
      <c r="AA50" s="26">
        <f aca="true" t="shared" si="6" ref="AA50:AA70">SUM(C50:Z50)</f>
        <v>150547.75564242923</v>
      </c>
      <c r="AB50" s="121">
        <f>N7-AA50</f>
        <v>0</v>
      </c>
    </row>
    <row r="51" spans="1:28" ht="12.75" customHeight="1">
      <c r="A51" s="15" t="s">
        <v>94</v>
      </c>
      <c r="C51" s="58">
        <f>N8</f>
        <v>0</v>
      </c>
      <c r="D51" s="59"/>
      <c r="E51" s="59"/>
      <c r="F51" s="60"/>
      <c r="G51" s="59"/>
      <c r="H51" s="59"/>
      <c r="I51" s="59"/>
      <c r="J51" s="59"/>
      <c r="K51" s="58"/>
      <c r="L51" s="59"/>
      <c r="M51" s="59"/>
      <c r="N51" s="60"/>
      <c r="O51" s="59"/>
      <c r="P51" s="59"/>
      <c r="Q51" s="59"/>
      <c r="R51" s="59"/>
      <c r="S51" s="61"/>
      <c r="T51" s="17"/>
      <c r="U51" s="17"/>
      <c r="V51" s="62"/>
      <c r="W51" s="17"/>
      <c r="X51" s="17"/>
      <c r="Y51" s="17"/>
      <c r="Z51" s="23"/>
      <c r="AA51" s="26">
        <f t="shared" si="6"/>
        <v>0</v>
      </c>
      <c r="AB51" s="121">
        <f>N8-AA51</f>
        <v>0</v>
      </c>
    </row>
    <row r="52" spans="1:28" ht="12.75" customHeight="1">
      <c r="A52" s="15" t="s">
        <v>25</v>
      </c>
      <c r="C52" s="58">
        <f>N9</f>
        <v>45164.32669272877</v>
      </c>
      <c r="D52" s="59"/>
      <c r="E52" s="59"/>
      <c r="F52" s="60"/>
      <c r="G52" s="59"/>
      <c r="H52" s="59"/>
      <c r="I52" s="59"/>
      <c r="J52" s="59"/>
      <c r="K52" s="58"/>
      <c r="L52" s="59"/>
      <c r="M52" s="59"/>
      <c r="N52" s="60"/>
      <c r="O52" s="59"/>
      <c r="P52" s="59"/>
      <c r="Q52" s="59"/>
      <c r="R52" s="59"/>
      <c r="S52" s="61"/>
      <c r="T52" s="17"/>
      <c r="U52" s="17"/>
      <c r="V52" s="62"/>
      <c r="W52" s="17"/>
      <c r="X52" s="17"/>
      <c r="Y52" s="17"/>
      <c r="Z52" s="23"/>
      <c r="AA52" s="26">
        <f t="shared" si="6"/>
        <v>45164.32669272877</v>
      </c>
      <c r="AB52" s="121">
        <f>N9-AA52</f>
        <v>0</v>
      </c>
    </row>
    <row r="53" spans="1:27" ht="12.75" customHeight="1">
      <c r="A53" s="24"/>
      <c r="C53" s="58"/>
      <c r="D53" s="59"/>
      <c r="E53" s="59"/>
      <c r="F53" s="60"/>
      <c r="G53" s="59"/>
      <c r="H53" s="59"/>
      <c r="I53" s="59"/>
      <c r="J53" s="59"/>
      <c r="K53" s="58"/>
      <c r="L53" s="59"/>
      <c r="M53" s="59"/>
      <c r="N53" s="60"/>
      <c r="O53" s="59"/>
      <c r="P53" s="59"/>
      <c r="Q53" s="59"/>
      <c r="R53" s="59"/>
      <c r="S53" s="61"/>
      <c r="T53" s="17"/>
      <c r="U53" s="17"/>
      <c r="V53" s="62"/>
      <c r="W53" s="17"/>
      <c r="X53" s="17"/>
      <c r="Y53" s="17"/>
      <c r="Z53" s="23"/>
      <c r="AA53" s="26"/>
    </row>
    <row r="54" spans="1:28" ht="12.75" customHeight="1">
      <c r="A54" s="15" t="s">
        <v>28</v>
      </c>
      <c r="C54" s="58">
        <f>N12</f>
        <v>25000</v>
      </c>
      <c r="D54" s="59"/>
      <c r="E54" s="59"/>
      <c r="F54" s="60"/>
      <c r="G54" s="59"/>
      <c r="H54" s="59"/>
      <c r="I54" s="59"/>
      <c r="J54" s="59"/>
      <c r="K54" s="58"/>
      <c r="L54" s="59"/>
      <c r="M54" s="59"/>
      <c r="N54" s="60"/>
      <c r="O54" s="59"/>
      <c r="P54" s="59"/>
      <c r="Q54" s="59"/>
      <c r="R54" s="59"/>
      <c r="S54" s="61"/>
      <c r="T54" s="17"/>
      <c r="U54" s="17"/>
      <c r="V54" s="62"/>
      <c r="W54" s="17"/>
      <c r="X54" s="17"/>
      <c r="Y54" s="17"/>
      <c r="Z54" s="23"/>
      <c r="AA54" s="26">
        <f t="shared" si="6"/>
        <v>25000</v>
      </c>
      <c r="AB54" s="121">
        <f>N12-AA54</f>
        <v>0</v>
      </c>
    </row>
    <row r="55" spans="1:28" ht="12.75" customHeight="1">
      <c r="A55" s="15" t="s">
        <v>31</v>
      </c>
      <c r="C55" s="58">
        <f>N13/2</f>
        <v>328234.5</v>
      </c>
      <c r="D55" s="59"/>
      <c r="E55" s="59">
        <f>N13-C55</f>
        <v>328234.5</v>
      </c>
      <c r="F55" s="60"/>
      <c r="G55" s="59"/>
      <c r="H55" s="59"/>
      <c r="I55" s="59"/>
      <c r="J55" s="59"/>
      <c r="K55" s="58"/>
      <c r="L55" s="59"/>
      <c r="M55" s="59"/>
      <c r="N55" s="60"/>
      <c r="O55" s="59"/>
      <c r="P55" s="59"/>
      <c r="Q55" s="59"/>
      <c r="R55" s="59"/>
      <c r="S55" s="58"/>
      <c r="T55" s="59"/>
      <c r="U55" s="59"/>
      <c r="V55" s="60"/>
      <c r="W55" s="59"/>
      <c r="X55" s="59"/>
      <c r="Y55" s="59"/>
      <c r="Z55" s="69"/>
      <c r="AA55" s="26">
        <f t="shared" si="6"/>
        <v>656469</v>
      </c>
      <c r="AB55" s="121">
        <f>N13-AA55</f>
        <v>0</v>
      </c>
    </row>
    <row r="56" spans="1:28" ht="12.75" customHeight="1">
      <c r="A56" s="15" t="s">
        <v>77</v>
      </c>
      <c r="C56" s="58">
        <f>N14/2</f>
        <v>54705.75</v>
      </c>
      <c r="D56" s="76"/>
      <c r="E56" s="59">
        <f>N14-C56</f>
        <v>54705.75</v>
      </c>
      <c r="F56" s="60"/>
      <c r="G56" s="59"/>
      <c r="H56" s="59"/>
      <c r="I56" s="59"/>
      <c r="J56" s="59"/>
      <c r="K56" s="58"/>
      <c r="L56" s="59"/>
      <c r="M56" s="59"/>
      <c r="N56" s="60"/>
      <c r="O56" s="59"/>
      <c r="P56" s="59"/>
      <c r="Q56" s="59"/>
      <c r="R56" s="59"/>
      <c r="S56" s="61"/>
      <c r="T56" s="17"/>
      <c r="U56" s="17"/>
      <c r="V56" s="62"/>
      <c r="W56" s="17"/>
      <c r="X56" s="17"/>
      <c r="Y56" s="17"/>
      <c r="Z56" s="23"/>
      <c r="AA56" s="26">
        <f t="shared" si="6"/>
        <v>109411.5</v>
      </c>
      <c r="AB56" s="121">
        <f>N14-AA56</f>
        <v>0</v>
      </c>
    </row>
    <row r="57" spans="1:28" ht="12.75" customHeight="1">
      <c r="A57" s="15" t="s">
        <v>33</v>
      </c>
      <c r="C57" s="58">
        <f>N15/2</f>
        <v>27352.875</v>
      </c>
      <c r="D57" s="59"/>
      <c r="E57" s="59">
        <f>N15-C57</f>
        <v>27352.875</v>
      </c>
      <c r="F57" s="60"/>
      <c r="G57" s="59"/>
      <c r="H57" s="59"/>
      <c r="I57" s="59"/>
      <c r="J57" s="59"/>
      <c r="K57" s="58"/>
      <c r="L57" s="59"/>
      <c r="M57" s="59"/>
      <c r="N57" s="60"/>
      <c r="O57" s="59"/>
      <c r="P57" s="59"/>
      <c r="Q57" s="59"/>
      <c r="R57" s="59"/>
      <c r="S57" s="61"/>
      <c r="T57" s="17"/>
      <c r="U57" s="17"/>
      <c r="V57" s="62"/>
      <c r="W57" s="17"/>
      <c r="X57" s="17"/>
      <c r="Y57" s="17"/>
      <c r="Z57" s="23"/>
      <c r="AA57" s="26">
        <f t="shared" si="6"/>
        <v>54705.75</v>
      </c>
      <c r="AB57" s="121">
        <f>N15-AA57</f>
        <v>0</v>
      </c>
    </row>
    <row r="58" spans="1:28" ht="12.75" customHeight="1">
      <c r="A58" s="15" t="s">
        <v>34</v>
      </c>
      <c r="C58" s="58">
        <f>N16/2</f>
        <v>136764.375</v>
      </c>
      <c r="D58" s="59"/>
      <c r="E58" s="59">
        <f>N16-C58</f>
        <v>136764.375</v>
      </c>
      <c r="F58" s="60"/>
      <c r="G58" s="59"/>
      <c r="H58" s="59"/>
      <c r="I58" s="59"/>
      <c r="J58" s="59"/>
      <c r="K58" s="58"/>
      <c r="L58" s="59"/>
      <c r="M58" s="59"/>
      <c r="N58" s="60"/>
      <c r="O58" s="59"/>
      <c r="P58" s="59"/>
      <c r="Q58" s="59"/>
      <c r="R58" s="59"/>
      <c r="S58" s="61"/>
      <c r="T58" s="17"/>
      <c r="U58" s="17"/>
      <c r="V58" s="62"/>
      <c r="W58" s="17"/>
      <c r="X58" s="17"/>
      <c r="Y58" s="17"/>
      <c r="Z58" s="23"/>
      <c r="AA58" s="26">
        <f t="shared" si="6"/>
        <v>273528.75</v>
      </c>
      <c r="AB58" s="121">
        <f>N16-AA58</f>
        <v>0</v>
      </c>
    </row>
    <row r="59" spans="1:28" ht="12.75" customHeight="1">
      <c r="A59" s="15"/>
      <c r="C59" s="58"/>
      <c r="D59" s="59"/>
      <c r="E59" s="59"/>
      <c r="F59" s="60"/>
      <c r="G59" s="59"/>
      <c r="H59" s="59"/>
      <c r="I59" s="59"/>
      <c r="J59" s="59"/>
      <c r="K59" s="58"/>
      <c r="L59" s="59"/>
      <c r="M59" s="59"/>
      <c r="N59" s="60"/>
      <c r="O59" s="59"/>
      <c r="P59" s="59"/>
      <c r="Q59" s="59"/>
      <c r="R59" s="59"/>
      <c r="S59" s="61"/>
      <c r="T59" s="17"/>
      <c r="U59" s="17"/>
      <c r="V59" s="62"/>
      <c r="W59" s="17"/>
      <c r="X59" s="17"/>
      <c r="Y59" s="17"/>
      <c r="Z59" s="23"/>
      <c r="AA59" s="26"/>
      <c r="AB59" s="121"/>
    </row>
    <row r="60" spans="1:28" ht="12.75" customHeight="1">
      <c r="A60" s="15" t="s">
        <v>78</v>
      </c>
      <c r="C60" s="58"/>
      <c r="D60" s="59">
        <f>(((1/$D$4)/$B$23)*(B41+C41+D41))*$N$19</f>
        <v>0</v>
      </c>
      <c r="E60" s="59">
        <f>(((1/$D$4)/$B$23)*(C41+D41+E41))*$N$19</f>
        <v>132080</v>
      </c>
      <c r="F60" s="60">
        <f>(((1/$D$4)/$B$23)*(D41+E41+F41))*$N$19</f>
        <v>396240</v>
      </c>
      <c r="G60" s="59">
        <f aca="true" t="shared" si="7" ref="D60:Z60">(((1/$D$4)/$B$23)*(E41+F41+G41))*$N$19</f>
        <v>660400</v>
      </c>
      <c r="H60" s="59">
        <f t="shared" si="7"/>
        <v>792480</v>
      </c>
      <c r="I60" s="59">
        <f t="shared" si="7"/>
        <v>792480</v>
      </c>
      <c r="J60" s="59">
        <f t="shared" si="7"/>
        <v>792480</v>
      </c>
      <c r="K60" s="58">
        <f t="shared" si="7"/>
        <v>792480</v>
      </c>
      <c r="L60" s="59">
        <f t="shared" si="7"/>
        <v>792480</v>
      </c>
      <c r="M60" s="59">
        <f t="shared" si="7"/>
        <v>792480</v>
      </c>
      <c r="N60" s="60">
        <f t="shared" si="7"/>
        <v>792480</v>
      </c>
      <c r="O60" s="59">
        <f t="shared" si="7"/>
        <v>792480</v>
      </c>
      <c r="P60" s="59">
        <f t="shared" si="7"/>
        <v>792480</v>
      </c>
      <c r="Q60" s="59">
        <f t="shared" si="7"/>
        <v>792480</v>
      </c>
      <c r="R60" s="59">
        <f t="shared" si="7"/>
        <v>528320</v>
      </c>
      <c r="S60" s="58">
        <f t="shared" si="7"/>
        <v>264160</v>
      </c>
      <c r="T60" s="59">
        <f t="shared" si="7"/>
        <v>0</v>
      </c>
      <c r="U60" s="59">
        <f t="shared" si="7"/>
        <v>0</v>
      </c>
      <c r="V60" s="60">
        <f t="shared" si="7"/>
        <v>0</v>
      </c>
      <c r="W60" s="59">
        <f t="shared" si="7"/>
        <v>0</v>
      </c>
      <c r="X60" s="59">
        <f t="shared" si="7"/>
        <v>0</v>
      </c>
      <c r="Y60" s="59">
        <f t="shared" si="7"/>
        <v>0</v>
      </c>
      <c r="Z60" s="69">
        <f t="shared" si="7"/>
        <v>0</v>
      </c>
      <c r="AA60" s="26">
        <f t="shared" si="6"/>
        <v>9906000</v>
      </c>
      <c r="AB60" s="121">
        <f>N19-AA60</f>
        <v>0</v>
      </c>
    </row>
    <row r="61" spans="1:28" ht="12.75" customHeight="1">
      <c r="A61" s="15" t="s">
        <v>79</v>
      </c>
      <c r="C61" s="58"/>
      <c r="D61" s="59">
        <f>(((1/$D$4)/$B$23)*(B41+C41+D41))*$N$20</f>
        <v>0</v>
      </c>
      <c r="E61" s="59">
        <f aca="true" t="shared" si="8" ref="E61:Z61">(((1/$D$4)/$B$23)*(C41+D41+E41))*$N$20</f>
        <v>7166.666666666667</v>
      </c>
      <c r="F61" s="60">
        <f t="shared" si="8"/>
        <v>21500</v>
      </c>
      <c r="G61" s="59">
        <f t="shared" si="8"/>
        <v>35833.333333333336</v>
      </c>
      <c r="H61" s="59">
        <f t="shared" si="8"/>
        <v>43000</v>
      </c>
      <c r="I61" s="59">
        <f t="shared" si="8"/>
        <v>43000</v>
      </c>
      <c r="J61" s="60">
        <f t="shared" si="8"/>
        <v>43000</v>
      </c>
      <c r="K61" s="59">
        <f t="shared" si="8"/>
        <v>43000</v>
      </c>
      <c r="L61" s="59">
        <f t="shared" si="8"/>
        <v>43000</v>
      </c>
      <c r="M61" s="59">
        <f t="shared" si="8"/>
        <v>43000</v>
      </c>
      <c r="N61" s="60">
        <f t="shared" si="8"/>
        <v>43000</v>
      </c>
      <c r="O61" s="59">
        <f t="shared" si="8"/>
        <v>43000</v>
      </c>
      <c r="P61" s="59">
        <f t="shared" si="8"/>
        <v>43000</v>
      </c>
      <c r="Q61" s="59">
        <f t="shared" si="8"/>
        <v>43000</v>
      </c>
      <c r="R61" s="60">
        <f t="shared" si="8"/>
        <v>28666.666666666668</v>
      </c>
      <c r="S61" s="59">
        <f t="shared" si="8"/>
        <v>14333.333333333334</v>
      </c>
      <c r="T61" s="59">
        <f t="shared" si="8"/>
        <v>0</v>
      </c>
      <c r="U61" s="59">
        <f t="shared" si="8"/>
        <v>0</v>
      </c>
      <c r="V61" s="60">
        <f t="shared" si="8"/>
        <v>0</v>
      </c>
      <c r="W61" s="59">
        <f t="shared" si="8"/>
        <v>0</v>
      </c>
      <c r="X61" s="59">
        <f t="shared" si="8"/>
        <v>0</v>
      </c>
      <c r="Y61" s="59">
        <f t="shared" si="8"/>
        <v>0</v>
      </c>
      <c r="Z61" s="69">
        <f t="shared" si="8"/>
        <v>0</v>
      </c>
      <c r="AA61" s="26">
        <f t="shared" si="6"/>
        <v>537500</v>
      </c>
      <c r="AB61" s="121">
        <f>N20-AA61</f>
        <v>0</v>
      </c>
    </row>
    <row r="62" spans="1:28" ht="12.75" customHeight="1">
      <c r="A62" s="15" t="s">
        <v>44</v>
      </c>
      <c r="C62" s="58"/>
      <c r="D62" s="59">
        <f aca="true" t="shared" si="9" ref="D62:Z62">(((1/$D$4)/$B$23)*(B41+C41+D41))*$N$21</f>
        <v>0</v>
      </c>
      <c r="E62" s="59">
        <f>(((1/$D$4)/$B$23)*(C41+D41+E41))*$N$21</f>
        <v>3302</v>
      </c>
      <c r="F62" s="60">
        <f>(((1/$D$4)/$B$23)*(D41+E41+F41))*$N$21</f>
        <v>9906</v>
      </c>
      <c r="G62" s="59">
        <f t="shared" si="9"/>
        <v>16510</v>
      </c>
      <c r="H62" s="59">
        <f t="shared" si="9"/>
        <v>19812</v>
      </c>
      <c r="I62" s="59">
        <f t="shared" si="9"/>
        <v>19812</v>
      </c>
      <c r="J62" s="59">
        <f t="shared" si="9"/>
        <v>19812</v>
      </c>
      <c r="K62" s="58">
        <f t="shared" si="9"/>
        <v>19812</v>
      </c>
      <c r="L62" s="59">
        <f t="shared" si="9"/>
        <v>19812</v>
      </c>
      <c r="M62" s="59">
        <f t="shared" si="9"/>
        <v>19812</v>
      </c>
      <c r="N62" s="60">
        <f t="shared" si="9"/>
        <v>19812</v>
      </c>
      <c r="O62" s="59">
        <f t="shared" si="9"/>
        <v>19812</v>
      </c>
      <c r="P62" s="59">
        <f t="shared" si="9"/>
        <v>19812</v>
      </c>
      <c r="Q62" s="59">
        <f t="shared" si="9"/>
        <v>19812</v>
      </c>
      <c r="R62" s="59">
        <f t="shared" si="9"/>
        <v>13208</v>
      </c>
      <c r="S62" s="58">
        <f t="shared" si="9"/>
        <v>6604</v>
      </c>
      <c r="T62" s="59">
        <f t="shared" si="9"/>
        <v>0</v>
      </c>
      <c r="U62" s="59">
        <f t="shared" si="9"/>
        <v>0</v>
      </c>
      <c r="V62" s="60">
        <f t="shared" si="9"/>
        <v>0</v>
      </c>
      <c r="W62" s="59">
        <f t="shared" si="9"/>
        <v>0</v>
      </c>
      <c r="X62" s="59">
        <f t="shared" si="9"/>
        <v>0</v>
      </c>
      <c r="Y62" s="59">
        <f t="shared" si="9"/>
        <v>0</v>
      </c>
      <c r="Z62" s="69">
        <f t="shared" si="9"/>
        <v>0</v>
      </c>
      <c r="AA62" s="26">
        <f t="shared" si="6"/>
        <v>247650</v>
      </c>
      <c r="AB62" s="121">
        <f>N21-AA62</f>
        <v>0</v>
      </c>
    </row>
    <row r="63" spans="1:28" ht="12.75" customHeight="1">
      <c r="A63" s="15" t="s">
        <v>46</v>
      </c>
      <c r="C63" s="58"/>
      <c r="D63" s="59">
        <f aca="true" t="shared" si="10" ref="D63:Z63">(((1/$D$4)/$B$23)*(B41+C41+D41))*$N$22</f>
        <v>0</v>
      </c>
      <c r="E63" s="59">
        <f>(((1/$D$4)/$B$23)*(C41+D41+E41))*$N$22</f>
        <v>3333.3333333333335</v>
      </c>
      <c r="F63" s="60">
        <f>(((1/$D$4)/$B$23)*(D41+E41+F41))*$N$22</f>
        <v>10000</v>
      </c>
      <c r="G63" s="59">
        <f t="shared" si="10"/>
        <v>16666.666666666668</v>
      </c>
      <c r="H63" s="59">
        <f t="shared" si="10"/>
        <v>20000</v>
      </c>
      <c r="I63" s="59">
        <f t="shared" si="10"/>
        <v>20000</v>
      </c>
      <c r="J63" s="59">
        <f t="shared" si="10"/>
        <v>20000</v>
      </c>
      <c r="K63" s="58">
        <f t="shared" si="10"/>
        <v>20000</v>
      </c>
      <c r="L63" s="59">
        <f t="shared" si="10"/>
        <v>20000</v>
      </c>
      <c r="M63" s="59">
        <f t="shared" si="10"/>
        <v>20000</v>
      </c>
      <c r="N63" s="60">
        <f t="shared" si="10"/>
        <v>20000</v>
      </c>
      <c r="O63" s="59">
        <f t="shared" si="10"/>
        <v>20000</v>
      </c>
      <c r="P63" s="59">
        <f t="shared" si="10"/>
        <v>20000</v>
      </c>
      <c r="Q63" s="59">
        <f t="shared" si="10"/>
        <v>20000</v>
      </c>
      <c r="R63" s="59">
        <f t="shared" si="10"/>
        <v>13333.333333333334</v>
      </c>
      <c r="S63" s="58">
        <f t="shared" si="10"/>
        <v>6666.666666666667</v>
      </c>
      <c r="T63" s="59">
        <f t="shared" si="10"/>
        <v>0</v>
      </c>
      <c r="U63" s="59">
        <f t="shared" si="10"/>
        <v>0</v>
      </c>
      <c r="V63" s="60">
        <f t="shared" si="10"/>
        <v>0</v>
      </c>
      <c r="W63" s="59">
        <f t="shared" si="10"/>
        <v>0</v>
      </c>
      <c r="X63" s="59">
        <f t="shared" si="10"/>
        <v>0</v>
      </c>
      <c r="Y63" s="59">
        <f t="shared" si="10"/>
        <v>0</v>
      </c>
      <c r="Z63" s="69">
        <f t="shared" si="10"/>
        <v>0</v>
      </c>
      <c r="AA63" s="26">
        <f t="shared" si="6"/>
        <v>250000</v>
      </c>
      <c r="AB63" s="121">
        <f>N22-AA63</f>
        <v>0</v>
      </c>
    </row>
    <row r="64" spans="1:28" ht="12.75" customHeight="1">
      <c r="A64" s="24"/>
      <c r="C64" s="58"/>
      <c r="D64" s="59"/>
      <c r="E64" s="59"/>
      <c r="F64" s="60"/>
      <c r="G64" s="59"/>
      <c r="H64" s="59"/>
      <c r="I64" s="59"/>
      <c r="J64" s="59"/>
      <c r="K64" s="58"/>
      <c r="L64" s="59"/>
      <c r="M64" s="59"/>
      <c r="N64" s="60"/>
      <c r="O64" s="59"/>
      <c r="P64" s="59"/>
      <c r="Q64" s="59"/>
      <c r="R64" s="59"/>
      <c r="S64" s="61"/>
      <c r="T64" s="17"/>
      <c r="U64" s="17"/>
      <c r="V64" s="62"/>
      <c r="W64" s="17"/>
      <c r="X64" s="17"/>
      <c r="Y64" s="17"/>
      <c r="Z64" s="23"/>
      <c r="AA64" s="26"/>
      <c r="AB64" s="121"/>
    </row>
    <row r="65" spans="1:28" ht="12.75" customHeight="1">
      <c r="A65" s="15" t="s">
        <v>80</v>
      </c>
      <c r="C65" s="58">
        <f>N25</f>
        <v>10000</v>
      </c>
      <c r="D65" s="59"/>
      <c r="E65" s="59"/>
      <c r="F65" s="60"/>
      <c r="G65" s="59"/>
      <c r="H65" s="59"/>
      <c r="I65" s="59"/>
      <c r="J65" s="59"/>
      <c r="K65" s="58"/>
      <c r="L65" s="59"/>
      <c r="M65" s="59"/>
      <c r="N65" s="60"/>
      <c r="O65" s="59"/>
      <c r="P65" s="59"/>
      <c r="Q65" s="59"/>
      <c r="R65" s="59"/>
      <c r="S65" s="61"/>
      <c r="T65" s="17"/>
      <c r="U65" s="17"/>
      <c r="V65" s="62"/>
      <c r="W65" s="17"/>
      <c r="X65" s="17"/>
      <c r="Y65" s="17"/>
      <c r="Z65" s="23"/>
      <c r="AA65" s="26">
        <f t="shared" si="6"/>
        <v>10000</v>
      </c>
      <c r="AB65" s="121">
        <f>N25-AA65</f>
        <v>0</v>
      </c>
    </row>
    <row r="66" spans="1:28" ht="12.6" customHeight="1">
      <c r="A66" s="15" t="s">
        <v>56</v>
      </c>
      <c r="C66" s="58">
        <f>N27</f>
        <v>7500</v>
      </c>
      <c r="D66" s="59"/>
      <c r="E66" s="59"/>
      <c r="F66" s="60"/>
      <c r="G66" s="59"/>
      <c r="H66" s="59"/>
      <c r="I66" s="59"/>
      <c r="J66" s="59"/>
      <c r="K66" s="58"/>
      <c r="L66" s="59"/>
      <c r="M66" s="59"/>
      <c r="N66" s="60"/>
      <c r="O66" s="59"/>
      <c r="P66" s="59"/>
      <c r="Q66" s="59"/>
      <c r="R66" s="59"/>
      <c r="S66" s="61"/>
      <c r="T66" s="17"/>
      <c r="U66" s="17"/>
      <c r="V66" s="62"/>
      <c r="W66" s="17"/>
      <c r="X66" s="17"/>
      <c r="Y66" s="17"/>
      <c r="Z66" s="23"/>
      <c r="AA66" s="26">
        <f t="shared" si="6"/>
        <v>7500</v>
      </c>
      <c r="AB66" s="121">
        <f>N27-AA66</f>
        <v>0</v>
      </c>
    </row>
    <row r="67" spans="1:28" ht="12.75" customHeight="1">
      <c r="A67" s="24"/>
      <c r="C67" s="58"/>
      <c r="D67" s="59"/>
      <c r="E67" s="59"/>
      <c r="F67" s="60"/>
      <c r="G67" s="59"/>
      <c r="H67" s="59"/>
      <c r="I67" s="59"/>
      <c r="J67" s="59"/>
      <c r="K67" s="58"/>
      <c r="L67" s="59"/>
      <c r="M67" s="59"/>
      <c r="N67" s="60"/>
      <c r="O67" s="59"/>
      <c r="P67" s="59"/>
      <c r="Q67" s="59"/>
      <c r="R67" s="59"/>
      <c r="S67" s="61"/>
      <c r="T67" s="17"/>
      <c r="U67" s="17"/>
      <c r="V67" s="62"/>
      <c r="W67" s="17"/>
      <c r="X67" s="17"/>
      <c r="Y67" s="17"/>
      <c r="Z67" s="23"/>
      <c r="AA67" s="26"/>
      <c r="AB67" s="121"/>
    </row>
    <row r="68" spans="1:28" ht="12.75" customHeight="1">
      <c r="A68" s="15" t="s">
        <v>59</v>
      </c>
      <c r="C68" s="58">
        <f aca="true" t="shared" si="11" ref="C68:Z68">(SUM(C42:C45))*$M$30</f>
        <v>0</v>
      </c>
      <c r="D68" s="59">
        <f t="shared" si="11"/>
        <v>0</v>
      </c>
      <c r="E68" s="59">
        <f t="shared" si="11"/>
        <v>0</v>
      </c>
      <c r="F68" s="60">
        <f t="shared" si="11"/>
        <v>0</v>
      </c>
      <c r="G68" s="59">
        <f t="shared" si="11"/>
        <v>0</v>
      </c>
      <c r="H68" s="59">
        <f t="shared" si="11"/>
        <v>0</v>
      </c>
      <c r="I68" s="59">
        <f t="shared" si="11"/>
        <v>17053.94</v>
      </c>
      <c r="J68" s="59">
        <f t="shared" si="11"/>
        <v>34107.88</v>
      </c>
      <c r="K68" s="58">
        <f t="shared" si="11"/>
        <v>34107.88</v>
      </c>
      <c r="L68" s="59">
        <f t="shared" si="11"/>
        <v>34107.88</v>
      </c>
      <c r="M68" s="59">
        <f t="shared" si="11"/>
        <v>34107.88</v>
      </c>
      <c r="N68" s="60">
        <f t="shared" si="11"/>
        <v>34107.88</v>
      </c>
      <c r="O68" s="59">
        <f t="shared" si="11"/>
        <v>34107.88</v>
      </c>
      <c r="P68" s="59">
        <f t="shared" si="11"/>
        <v>34107.88</v>
      </c>
      <c r="Q68" s="59">
        <f t="shared" si="11"/>
        <v>34107.88</v>
      </c>
      <c r="R68" s="59">
        <f t="shared" si="11"/>
        <v>34107.88</v>
      </c>
      <c r="S68" s="58">
        <f t="shared" si="11"/>
        <v>34107.88</v>
      </c>
      <c r="T68" s="59">
        <f t="shared" si="11"/>
        <v>34107.88</v>
      </c>
      <c r="U68" s="59">
        <f t="shared" si="11"/>
        <v>34107.88</v>
      </c>
      <c r="V68" s="60">
        <f t="shared" si="11"/>
        <v>0</v>
      </c>
      <c r="W68" s="59">
        <f t="shared" si="11"/>
        <v>0</v>
      </c>
      <c r="X68" s="59">
        <f t="shared" si="11"/>
        <v>0</v>
      </c>
      <c r="Y68" s="59">
        <f t="shared" si="11"/>
        <v>0</v>
      </c>
      <c r="Z68" s="69">
        <f t="shared" si="11"/>
        <v>0</v>
      </c>
      <c r="AA68" s="26">
        <f t="shared" si="6"/>
        <v>426348.5</v>
      </c>
      <c r="AB68" s="121">
        <f>N30-AA68</f>
        <v>0</v>
      </c>
    </row>
    <row r="69" spans="1:28" ht="12.75" customHeight="1">
      <c r="A69" s="15" t="s">
        <v>60</v>
      </c>
      <c r="C69" s="58">
        <f aca="true" t="shared" si="12" ref="C69:Z69">(SUM(C42:C45))*$M$31</f>
        <v>0</v>
      </c>
      <c r="D69" s="59">
        <f t="shared" si="12"/>
        <v>0</v>
      </c>
      <c r="E69" s="59">
        <f t="shared" si="12"/>
        <v>0</v>
      </c>
      <c r="F69" s="60">
        <f t="shared" si="12"/>
        <v>0</v>
      </c>
      <c r="G69" s="59">
        <f t="shared" si="12"/>
        <v>0</v>
      </c>
      <c r="H69" s="59">
        <f t="shared" si="12"/>
        <v>0</v>
      </c>
      <c r="I69" s="59">
        <f t="shared" si="12"/>
        <v>4263.485</v>
      </c>
      <c r="J69" s="59">
        <f t="shared" si="12"/>
        <v>8526.97</v>
      </c>
      <c r="K69" s="58">
        <f t="shared" si="12"/>
        <v>8526.97</v>
      </c>
      <c r="L69" s="59">
        <f t="shared" si="12"/>
        <v>8526.97</v>
      </c>
      <c r="M69" s="59">
        <f t="shared" si="12"/>
        <v>8526.97</v>
      </c>
      <c r="N69" s="60">
        <f t="shared" si="12"/>
        <v>8526.97</v>
      </c>
      <c r="O69" s="59">
        <f t="shared" si="12"/>
        <v>8526.97</v>
      </c>
      <c r="P69" s="59">
        <f t="shared" si="12"/>
        <v>8526.97</v>
      </c>
      <c r="Q69" s="59">
        <f t="shared" si="12"/>
        <v>8526.97</v>
      </c>
      <c r="R69" s="59">
        <f t="shared" si="12"/>
        <v>8526.97</v>
      </c>
      <c r="S69" s="58">
        <f t="shared" si="12"/>
        <v>8526.97</v>
      </c>
      <c r="T69" s="59">
        <f t="shared" si="12"/>
        <v>8526.97</v>
      </c>
      <c r="U69" s="59">
        <f t="shared" si="12"/>
        <v>8526.97</v>
      </c>
      <c r="V69" s="60">
        <f t="shared" si="12"/>
        <v>0</v>
      </c>
      <c r="W69" s="59">
        <f t="shared" si="12"/>
        <v>0</v>
      </c>
      <c r="X69" s="59">
        <f t="shared" si="12"/>
        <v>0</v>
      </c>
      <c r="Y69" s="59">
        <f t="shared" si="12"/>
        <v>0</v>
      </c>
      <c r="Z69" s="69">
        <f t="shared" si="12"/>
        <v>0</v>
      </c>
      <c r="AA69" s="26">
        <f t="shared" si="6"/>
        <v>106587.125</v>
      </c>
      <c r="AB69" s="121">
        <f>N31-AA69</f>
        <v>0</v>
      </c>
    </row>
    <row r="70" spans="1:28" ht="12.75" customHeight="1">
      <c r="A70" s="15" t="s">
        <v>61</v>
      </c>
      <c r="C70" s="58"/>
      <c r="D70" s="59"/>
      <c r="E70" s="59">
        <f>N32</f>
        <v>5000</v>
      </c>
      <c r="F70" s="60"/>
      <c r="G70" s="59"/>
      <c r="H70" s="17"/>
      <c r="I70" s="59"/>
      <c r="J70" s="59"/>
      <c r="K70" s="58"/>
      <c r="L70" s="59"/>
      <c r="M70" s="59"/>
      <c r="N70" s="60"/>
      <c r="O70" s="59"/>
      <c r="P70" s="59"/>
      <c r="Q70" s="59"/>
      <c r="R70" s="59"/>
      <c r="S70" s="61"/>
      <c r="T70" s="17"/>
      <c r="U70" s="17"/>
      <c r="V70" s="62"/>
      <c r="W70" s="17"/>
      <c r="X70" s="17"/>
      <c r="Y70" s="17"/>
      <c r="Z70" s="23"/>
      <c r="AA70" s="26">
        <f t="shared" si="6"/>
        <v>5000</v>
      </c>
      <c r="AB70" s="121">
        <f>N32-AA70</f>
        <v>0</v>
      </c>
    </row>
    <row r="71" spans="1:28" s="1" customFormat="1" ht="12.75" customHeight="1" thickBot="1">
      <c r="A71" s="77" t="s">
        <v>81</v>
      </c>
      <c r="B71" s="78"/>
      <c r="C71" s="79">
        <f aca="true" t="shared" si="13" ref="C71:Z71">SUM(C50:C70)</f>
        <v>785269.582335158</v>
      </c>
      <c r="D71" s="80">
        <f t="shared" si="13"/>
        <v>0</v>
      </c>
      <c r="E71" s="80">
        <f t="shared" si="13"/>
        <v>697939.5</v>
      </c>
      <c r="F71" s="81">
        <f t="shared" si="13"/>
        <v>437646</v>
      </c>
      <c r="G71" s="80">
        <f t="shared" si="13"/>
        <v>729410</v>
      </c>
      <c r="H71" s="80">
        <f t="shared" si="13"/>
        <v>875292</v>
      </c>
      <c r="I71" s="80">
        <f t="shared" si="13"/>
        <v>896609.4249999999</v>
      </c>
      <c r="J71" s="80">
        <f t="shared" si="13"/>
        <v>917926.85</v>
      </c>
      <c r="K71" s="79">
        <f t="shared" si="13"/>
        <v>917926.85</v>
      </c>
      <c r="L71" s="80">
        <f t="shared" si="13"/>
        <v>917926.85</v>
      </c>
      <c r="M71" s="80">
        <f t="shared" si="13"/>
        <v>917926.85</v>
      </c>
      <c r="N71" s="81">
        <f t="shared" si="13"/>
        <v>917926.85</v>
      </c>
      <c r="O71" s="80">
        <f t="shared" si="13"/>
        <v>917926.85</v>
      </c>
      <c r="P71" s="80">
        <f t="shared" si="13"/>
        <v>917926.85</v>
      </c>
      <c r="Q71" s="80">
        <f t="shared" si="13"/>
        <v>917926.85</v>
      </c>
      <c r="R71" s="80">
        <f t="shared" si="13"/>
        <v>626162.85</v>
      </c>
      <c r="S71" s="79">
        <f t="shared" si="13"/>
        <v>334398.85</v>
      </c>
      <c r="T71" s="80">
        <f t="shared" si="13"/>
        <v>42634.85</v>
      </c>
      <c r="U71" s="80">
        <f t="shared" si="13"/>
        <v>42634.85</v>
      </c>
      <c r="V71" s="81">
        <f t="shared" si="13"/>
        <v>0</v>
      </c>
      <c r="W71" s="80">
        <f t="shared" si="13"/>
        <v>0</v>
      </c>
      <c r="X71" s="80">
        <f t="shared" si="13"/>
        <v>0</v>
      </c>
      <c r="Y71" s="80">
        <f t="shared" si="13"/>
        <v>0</v>
      </c>
      <c r="Z71" s="82">
        <f t="shared" si="13"/>
        <v>0</v>
      </c>
      <c r="AA71" s="187"/>
      <c r="AB71" s="188"/>
    </row>
    <row r="72" spans="1:27" ht="12.6" customHeight="1">
      <c r="A72" s="15"/>
      <c r="C72" s="58"/>
      <c r="D72" s="59"/>
      <c r="E72" s="59"/>
      <c r="F72" s="60"/>
      <c r="G72" s="59"/>
      <c r="H72" s="59"/>
      <c r="I72" s="59"/>
      <c r="J72" s="59"/>
      <c r="K72" s="58"/>
      <c r="L72" s="59"/>
      <c r="M72" s="59"/>
      <c r="N72" s="60"/>
      <c r="O72" s="59"/>
      <c r="P72" s="59"/>
      <c r="Q72" s="59"/>
      <c r="R72" s="59"/>
      <c r="S72" s="61"/>
      <c r="T72" s="17"/>
      <c r="U72" s="17"/>
      <c r="V72" s="62"/>
      <c r="W72" s="83"/>
      <c r="X72" s="84"/>
      <c r="Y72" s="84"/>
      <c r="Z72" s="52"/>
      <c r="AA72" s="17"/>
    </row>
    <row r="73" spans="1:27" ht="12.6" customHeight="1" thickBot="1">
      <c r="A73" s="15"/>
      <c r="C73" s="85"/>
      <c r="D73" s="86"/>
      <c r="E73" s="86"/>
      <c r="F73" s="87"/>
      <c r="G73" s="86"/>
      <c r="H73" s="86"/>
      <c r="I73" s="86"/>
      <c r="J73" s="86"/>
      <c r="K73" s="85"/>
      <c r="L73" s="86"/>
      <c r="M73" s="86"/>
      <c r="N73" s="87"/>
      <c r="O73" s="86"/>
      <c r="P73" s="86"/>
      <c r="Q73" s="86"/>
      <c r="R73" s="86"/>
      <c r="S73" s="85"/>
      <c r="T73" s="17"/>
      <c r="U73" s="17"/>
      <c r="V73" s="62"/>
      <c r="W73" s="61"/>
      <c r="X73" s="17"/>
      <c r="Y73" s="17"/>
      <c r="Z73" s="23"/>
      <c r="AA73" s="17"/>
    </row>
    <row r="74" spans="1:27" ht="12.6" customHeight="1" thickBot="1">
      <c r="A74" s="57" t="s">
        <v>82</v>
      </c>
      <c r="B74" s="46" t="s">
        <v>19</v>
      </c>
      <c r="C74" s="109">
        <v>3010955.1128485845</v>
      </c>
      <c r="D74" s="86"/>
      <c r="E74" s="86"/>
      <c r="F74" s="87"/>
      <c r="G74" s="86"/>
      <c r="H74" s="86"/>
      <c r="I74" s="86"/>
      <c r="J74" s="86"/>
      <c r="K74" s="85"/>
      <c r="L74" s="86"/>
      <c r="M74" s="86"/>
      <c r="N74" s="87"/>
      <c r="O74" s="86"/>
      <c r="P74" s="86"/>
      <c r="Q74" s="86"/>
      <c r="R74" s="86"/>
      <c r="S74" s="85"/>
      <c r="T74" s="17"/>
      <c r="U74" s="17"/>
      <c r="V74" s="62"/>
      <c r="W74" s="61"/>
      <c r="X74" s="17"/>
      <c r="Y74" s="17"/>
      <c r="Z74" s="23"/>
      <c r="AA74" s="17"/>
    </row>
    <row r="75" spans="1:27" ht="12.6" customHeight="1">
      <c r="A75" s="15"/>
      <c r="B75" s="46" t="s">
        <v>55</v>
      </c>
      <c r="C75" s="85"/>
      <c r="D75" s="86">
        <f aca="true" t="shared" si="14" ref="D75:Z75">-C78*($M$26/4)</f>
        <v>66433.93216571551</v>
      </c>
      <c r="E75" s="86">
        <f>-D78*($M$26/4)</f>
        <v>67596.52597861552</v>
      </c>
      <c r="F75" s="87">
        <f t="shared" si="14"/>
        <v>80993.40643324131</v>
      </c>
      <c r="G75" s="86">
        <f t="shared" si="14"/>
        <v>90069.59604582303</v>
      </c>
      <c r="H75" s="86">
        <f t="shared" si="14"/>
        <v>104410.48897662493</v>
      </c>
      <c r="I75" s="86">
        <f t="shared" si="14"/>
        <v>121555.28253371587</v>
      </c>
      <c r="J75" s="86">
        <f t="shared" si="14"/>
        <v>124450.9674155559</v>
      </c>
      <c r="K75" s="85">
        <f t="shared" si="14"/>
        <v>112848.18422032813</v>
      </c>
      <c r="L75" s="86">
        <f t="shared" si="14"/>
        <v>101042.35231918386</v>
      </c>
      <c r="M75" s="86">
        <f t="shared" si="14"/>
        <v>89029.91835976958</v>
      </c>
      <c r="N75" s="87">
        <f t="shared" si="14"/>
        <v>76807.26680606554</v>
      </c>
      <c r="O75" s="86">
        <f t="shared" si="14"/>
        <v>64370.718850171696</v>
      </c>
      <c r="P75" s="86">
        <f t="shared" si="14"/>
        <v>51716.5313050497</v>
      </c>
      <c r="Q75" s="86">
        <f t="shared" si="14"/>
        <v>38840.895477888065</v>
      </c>
      <c r="R75" s="86">
        <f t="shared" si="14"/>
        <v>25739.936023751103</v>
      </c>
      <c r="S75" s="85">
        <f t="shared" si="14"/>
        <v>7303.839779166748</v>
      </c>
      <c r="T75" s="86">
        <f t="shared" si="14"/>
        <v>0</v>
      </c>
      <c r="U75" s="86">
        <f t="shared" si="14"/>
        <v>0</v>
      </c>
      <c r="V75" s="87">
        <f t="shared" si="14"/>
        <v>0</v>
      </c>
      <c r="W75" s="85">
        <f t="shared" si="14"/>
        <v>0</v>
      </c>
      <c r="X75" s="86">
        <f t="shared" si="14"/>
        <v>0</v>
      </c>
      <c r="Y75" s="86">
        <f t="shared" si="14"/>
        <v>0</v>
      </c>
      <c r="Z75" s="126">
        <f t="shared" si="14"/>
        <v>0</v>
      </c>
      <c r="AA75" s="86">
        <f>SUM(D75:Z75)</f>
        <v>1223209.8426906667</v>
      </c>
    </row>
    <row r="76" spans="1:28" ht="12.6" customHeight="1">
      <c r="A76" s="15"/>
      <c r="B76" s="46" t="s">
        <v>90</v>
      </c>
      <c r="C76" s="85"/>
      <c r="D76" s="86"/>
      <c r="E76" s="86"/>
      <c r="F76" s="87"/>
      <c r="G76" s="86"/>
      <c r="H76" s="86"/>
      <c r="I76" s="17"/>
      <c r="J76" s="120"/>
      <c r="K76" s="122"/>
      <c r="L76" s="86"/>
      <c r="N76" s="87"/>
      <c r="O76" s="86"/>
      <c r="P76" s="86"/>
      <c r="Q76" s="86"/>
      <c r="R76" s="86"/>
      <c r="S76" s="85"/>
      <c r="T76" s="86"/>
      <c r="V76" s="87"/>
      <c r="X76" s="86"/>
      <c r="Y76" s="86"/>
      <c r="Z76" s="136">
        <f>P35</f>
        <v>3164473.564036749</v>
      </c>
      <c r="AA76" s="86">
        <f>SUM(D76:Z76)</f>
        <v>3164473.564036749</v>
      </c>
      <c r="AB76" s="121">
        <f>AA76-P35</f>
        <v>0</v>
      </c>
    </row>
    <row r="77" spans="1:27" ht="10.9" customHeight="1">
      <c r="A77" s="15"/>
      <c r="B77" s="46" t="s">
        <v>89</v>
      </c>
      <c r="C77" s="85"/>
      <c r="D77" s="86"/>
      <c r="E77" s="86"/>
      <c r="F77" s="87"/>
      <c r="G77" s="86"/>
      <c r="H77" s="86"/>
      <c r="I77" s="17"/>
      <c r="J77" s="120"/>
      <c r="K77" s="122"/>
      <c r="L77" s="86"/>
      <c r="N77" s="87"/>
      <c r="O77" s="86"/>
      <c r="P77" s="86"/>
      <c r="Q77" s="86"/>
      <c r="R77" s="86"/>
      <c r="S77" s="85"/>
      <c r="T77" s="86"/>
      <c r="V77" s="87"/>
      <c r="X77" s="86"/>
      <c r="Y77" s="86"/>
      <c r="Z77" s="127">
        <f>P36</f>
        <v>0</v>
      </c>
      <c r="AA77" s="86">
        <f>SUM(D77:Z77)</f>
        <v>0</v>
      </c>
    </row>
    <row r="78" spans="1:27" s="88" customFormat="1" ht="12.6" customHeight="1" hidden="1">
      <c r="A78" s="128"/>
      <c r="B78" s="89" t="s">
        <v>83</v>
      </c>
      <c r="C78" s="90">
        <f>IF(C82&lt;0,C82,0)</f>
        <v>-3796224.695183743</v>
      </c>
      <c r="D78" s="91">
        <f>IF(D82&lt;0,D82,0)</f>
        <v>-3862658.627349458</v>
      </c>
      <c r="E78" s="91">
        <f aca="true" t="shared" si="15" ref="E78:Z78">IF(E82&lt;0,E82,0)</f>
        <v>-4628194.653328074</v>
      </c>
      <c r="F78" s="92">
        <f t="shared" si="15"/>
        <v>-5146834.059761316</v>
      </c>
      <c r="G78" s="91">
        <f t="shared" si="15"/>
        <v>-5966313.655807138</v>
      </c>
      <c r="H78" s="91">
        <f t="shared" si="15"/>
        <v>-6946016.144783763</v>
      </c>
      <c r="I78" s="91">
        <f t="shared" si="15"/>
        <v>-7111483.852317479</v>
      </c>
      <c r="J78" s="91">
        <f t="shared" si="15"/>
        <v>-6448467.669733035</v>
      </c>
      <c r="K78" s="90">
        <f t="shared" si="15"/>
        <v>-5773848.703953363</v>
      </c>
      <c r="L78" s="91">
        <f>IF(L82&lt;0,L82,0)</f>
        <v>-5087423.906272547</v>
      </c>
      <c r="M78" s="91">
        <f t="shared" si="15"/>
        <v>-4388986.674632316</v>
      </c>
      <c r="N78" s="92">
        <f t="shared" si="15"/>
        <v>-3678326.791438382</v>
      </c>
      <c r="O78" s="91">
        <f t="shared" si="15"/>
        <v>-2955230.360288554</v>
      </c>
      <c r="P78" s="91">
        <f t="shared" si="15"/>
        <v>-2219479.7415936035</v>
      </c>
      <c r="Q78" s="91">
        <f t="shared" si="15"/>
        <v>-1470853.4870714915</v>
      </c>
      <c r="R78" s="91">
        <f t="shared" si="15"/>
        <v>-417362.2730952427</v>
      </c>
      <c r="S78" s="90">
        <f t="shared" si="15"/>
        <v>0</v>
      </c>
      <c r="T78" s="91">
        <f t="shared" si="15"/>
        <v>0</v>
      </c>
      <c r="U78" s="91">
        <f t="shared" si="15"/>
        <v>0</v>
      </c>
      <c r="V78" s="92">
        <f t="shared" si="15"/>
        <v>0</v>
      </c>
      <c r="W78" s="90">
        <f t="shared" si="15"/>
        <v>0</v>
      </c>
      <c r="X78" s="91">
        <f t="shared" si="15"/>
        <v>0</v>
      </c>
      <c r="Y78" s="91">
        <f t="shared" si="15"/>
        <v>0</v>
      </c>
      <c r="Z78" s="129">
        <f t="shared" si="15"/>
        <v>0</v>
      </c>
      <c r="AA78" s="86">
        <f>SUM(D78:Z78)</f>
        <v>-66101480.60142577</v>
      </c>
    </row>
    <row r="79" spans="1:27" ht="12.6" customHeight="1">
      <c r="A79" s="15"/>
      <c r="C79" s="85"/>
      <c r="D79" s="86"/>
      <c r="E79" s="86"/>
      <c r="F79" s="87"/>
      <c r="G79" s="86"/>
      <c r="H79" s="86"/>
      <c r="I79" s="86"/>
      <c r="J79" s="86"/>
      <c r="K79" s="85"/>
      <c r="L79" s="86"/>
      <c r="M79" s="86"/>
      <c r="N79" s="87"/>
      <c r="O79" s="86"/>
      <c r="P79" s="86"/>
      <c r="Q79" s="86"/>
      <c r="R79" s="86"/>
      <c r="S79" s="85"/>
      <c r="T79" s="86"/>
      <c r="U79" s="86"/>
      <c r="V79" s="87"/>
      <c r="W79" s="85"/>
      <c r="X79" s="86"/>
      <c r="Y79" s="86"/>
      <c r="Z79" s="126"/>
      <c r="AA79" s="86"/>
    </row>
    <row r="80" spans="1:27" ht="12.6" customHeight="1">
      <c r="A80" s="15"/>
      <c r="B80" s="34" t="s">
        <v>84</v>
      </c>
      <c r="C80" s="93">
        <f>C47-C71-C74-C75-C76-C77</f>
        <v>-3796224.695183743</v>
      </c>
      <c r="D80" s="94">
        <f aca="true" t="shared" si="16" ref="D80:Z80">D47-D71-D74-D75-D76-D77</f>
        <v>-66433.93216571551</v>
      </c>
      <c r="E80" s="94">
        <f t="shared" si="16"/>
        <v>-765536.0259786155</v>
      </c>
      <c r="F80" s="95">
        <f t="shared" si="16"/>
        <v>-518639.4064332413</v>
      </c>
      <c r="G80" s="94">
        <f t="shared" si="16"/>
        <v>-819479.5960458231</v>
      </c>
      <c r="H80" s="94">
        <f t="shared" si="16"/>
        <v>-979702.4889766249</v>
      </c>
      <c r="I80" s="94">
        <f t="shared" si="16"/>
        <v>-165467.70753371582</v>
      </c>
      <c r="J80" s="94">
        <f t="shared" si="16"/>
        <v>663016.1825844441</v>
      </c>
      <c r="K80" s="93">
        <f t="shared" si="16"/>
        <v>674618.9657796719</v>
      </c>
      <c r="L80" s="94">
        <f t="shared" si="16"/>
        <v>686424.7976808161</v>
      </c>
      <c r="M80" s="94">
        <f t="shared" si="16"/>
        <v>698437.2316402304</v>
      </c>
      <c r="N80" s="95">
        <f t="shared" si="16"/>
        <v>710659.8831939345</v>
      </c>
      <c r="O80" s="94">
        <f t="shared" si="16"/>
        <v>723096.4311498284</v>
      </c>
      <c r="P80" s="94">
        <f t="shared" si="16"/>
        <v>735750.6186949504</v>
      </c>
      <c r="Q80" s="94">
        <f t="shared" si="16"/>
        <v>748626.254522112</v>
      </c>
      <c r="R80" s="94">
        <f t="shared" si="16"/>
        <v>1053491.2139762489</v>
      </c>
      <c r="S80" s="93">
        <f t="shared" si="16"/>
        <v>1363691.3102208332</v>
      </c>
      <c r="T80" s="94">
        <f t="shared" si="16"/>
        <v>1662759.15</v>
      </c>
      <c r="U80" s="94">
        <f t="shared" si="16"/>
        <v>1662759.15</v>
      </c>
      <c r="V80" s="95">
        <f t="shared" si="16"/>
        <v>0</v>
      </c>
      <c r="W80" s="94">
        <f t="shared" si="16"/>
        <v>0</v>
      </c>
      <c r="X80" s="94">
        <f t="shared" si="16"/>
        <v>0</v>
      </c>
      <c r="Y80" s="94">
        <f t="shared" si="16"/>
        <v>0</v>
      </c>
      <c r="Z80" s="130">
        <f t="shared" si="16"/>
        <v>-3164473.564036749</v>
      </c>
      <c r="AA80" s="17"/>
    </row>
    <row r="81" spans="1:27" ht="12.75" customHeight="1">
      <c r="A81" s="15"/>
      <c r="B81" s="48" t="s">
        <v>85</v>
      </c>
      <c r="C81" s="85">
        <v>0</v>
      </c>
      <c r="D81" s="86"/>
      <c r="E81" s="86"/>
      <c r="F81" s="87"/>
      <c r="G81" s="86"/>
      <c r="H81" s="86"/>
      <c r="I81" s="86"/>
      <c r="J81" s="86"/>
      <c r="K81" s="85"/>
      <c r="L81" s="86"/>
      <c r="M81" s="86"/>
      <c r="N81" s="87"/>
      <c r="O81" s="86"/>
      <c r="P81" s="86"/>
      <c r="Q81" s="86"/>
      <c r="R81" s="86"/>
      <c r="S81" s="85"/>
      <c r="T81" s="86"/>
      <c r="U81" s="86"/>
      <c r="V81" s="87"/>
      <c r="W81" s="86"/>
      <c r="X81" s="86"/>
      <c r="Y81" s="86"/>
      <c r="Z81" s="126"/>
      <c r="AA81" s="17"/>
    </row>
    <row r="82" spans="1:27" ht="12.75" customHeight="1" thickBot="1">
      <c r="A82" s="30"/>
      <c r="B82" s="131" t="s">
        <v>86</v>
      </c>
      <c r="C82" s="132">
        <f>C80+C81</f>
        <v>-3796224.695183743</v>
      </c>
      <c r="D82" s="133">
        <f>C82+D80+D81</f>
        <v>-3862658.627349458</v>
      </c>
      <c r="E82" s="133">
        <f>D82+E80+E81</f>
        <v>-4628194.653328074</v>
      </c>
      <c r="F82" s="134">
        <f aca="true" t="shared" si="17" ref="F82:Z82">E82+F80+F81</f>
        <v>-5146834.059761316</v>
      </c>
      <c r="G82" s="133">
        <f t="shared" si="17"/>
        <v>-5966313.655807138</v>
      </c>
      <c r="H82" s="133">
        <f t="shared" si="17"/>
        <v>-6946016.144783763</v>
      </c>
      <c r="I82" s="133">
        <f t="shared" si="17"/>
        <v>-7111483.852317479</v>
      </c>
      <c r="J82" s="133">
        <f t="shared" si="17"/>
        <v>-6448467.669733035</v>
      </c>
      <c r="K82" s="132">
        <f>J82+K80+K81</f>
        <v>-5773848.703953363</v>
      </c>
      <c r="L82" s="133">
        <f t="shared" si="17"/>
        <v>-5087423.906272547</v>
      </c>
      <c r="M82" s="133">
        <f t="shared" si="17"/>
        <v>-4388986.674632316</v>
      </c>
      <c r="N82" s="134">
        <f t="shared" si="17"/>
        <v>-3678326.791438382</v>
      </c>
      <c r="O82" s="133">
        <f t="shared" si="17"/>
        <v>-2955230.360288554</v>
      </c>
      <c r="P82" s="133">
        <f t="shared" si="17"/>
        <v>-2219479.7415936035</v>
      </c>
      <c r="Q82" s="133">
        <f t="shared" si="17"/>
        <v>-1470853.4870714915</v>
      </c>
      <c r="R82" s="133">
        <f>Q82+R80+R81</f>
        <v>-417362.2730952427</v>
      </c>
      <c r="S82" s="132">
        <f t="shared" si="17"/>
        <v>946329.0371255905</v>
      </c>
      <c r="T82" s="133">
        <f t="shared" si="17"/>
        <v>2609088.1871255906</v>
      </c>
      <c r="U82" s="133">
        <f t="shared" si="17"/>
        <v>4271847.33712559</v>
      </c>
      <c r="V82" s="134">
        <f t="shared" si="17"/>
        <v>4271847.33712559</v>
      </c>
      <c r="W82" s="133">
        <f t="shared" si="17"/>
        <v>4271847.33712559</v>
      </c>
      <c r="X82" s="133">
        <f t="shared" si="17"/>
        <v>4271847.33712559</v>
      </c>
      <c r="Y82" s="133">
        <f t="shared" si="17"/>
        <v>4271847.33712559</v>
      </c>
      <c r="Z82" s="135">
        <f t="shared" si="17"/>
        <v>1107373.7730888412</v>
      </c>
      <c r="AA82" s="17"/>
    </row>
    <row r="83" spans="3:27" ht="12.75" customHeight="1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</sheetData>
  <mergeCells count="1">
    <mergeCell ref="G31:H31"/>
  </mergeCells>
  <conditionalFormatting sqref="C26">
    <cfRule type="cellIs" priority="21" dxfId="2" operator="between">
      <formula>C27</formula>
      <formula>C30</formula>
    </cfRule>
    <cfRule type="cellIs" priority="23" dxfId="1" operator="lessThan">
      <formula>C27</formula>
    </cfRule>
    <cfRule type="cellIs" priority="25" dxfId="0" operator="greaterThan">
      <formula>C30</formula>
    </cfRule>
  </conditionalFormatting>
  <conditionalFormatting sqref="AB41 AB50:AB52 AB54:AB58 AB60:AB63 AB65:AB66 AB68:AB70 AB47">
    <cfRule type="cellIs" priority="15" dxfId="7" operator="notEqual">
      <formula>0</formula>
    </cfRule>
    <cfRule type="cellIs" priority="16" dxfId="0" operator="equal">
      <formula>0</formula>
    </cfRule>
  </conditionalFormatting>
  <conditionalFormatting sqref="AB76">
    <cfRule type="cellIs" priority="11" dxfId="7" operator="notEqual">
      <formula>0</formula>
    </cfRule>
    <cfRule type="cellIs" priority="12" dxfId="0" operator="equal">
      <formula>0</formula>
    </cfRule>
  </conditionalFormatting>
  <conditionalFormatting sqref="E26">
    <cfRule type="cellIs" priority="1" dxfId="2" operator="between">
      <formula>E27</formula>
      <formula>E30</formula>
    </cfRule>
    <cfRule type="cellIs" priority="2" dxfId="1" operator="lessThan">
      <formula>E27</formula>
    </cfRule>
    <cfRule type="cellIs" priority="3" dxfId="0" operator="greaterThan">
      <formula>E30</formula>
    </cfRule>
  </conditionalFormatting>
  <conditionalFormatting sqref="D26">
    <cfRule type="cellIs" priority="4" dxfId="2" operator="between">
      <formula>D27</formula>
      <formula>D30</formula>
    </cfRule>
    <cfRule type="cellIs" priority="5" dxfId="1" operator="lessThan">
      <formula>D27</formula>
    </cfRule>
    <cfRule type="cellIs" priority="6" dxfId="0" operator="greaterThan">
      <formula>D30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0" r:id="rId4"/>
  <headerFooter>
    <oddHeader>&amp;C&amp;"Arial,Bold"&amp;14&amp;F&amp;"-,Regular"&amp;11
&amp;"Arial,Regular"&amp;12Single Site Viability Model - FOR TRAINING PURPOSES ONLY&amp;R&amp;G</oddHeader>
    <oddFooter>&amp;C© RS Drummond-Hay MRICS / HDH Planning and Development.  Any unauthorised reproduction or usage by any person or organisation is prohibited.&amp;R&amp;D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Drummon-Hay</dc:creator>
  <cp:keywords/>
  <dc:description/>
  <cp:lastModifiedBy>HDH1</cp:lastModifiedBy>
  <cp:lastPrinted>2013-03-14T10:16:31Z</cp:lastPrinted>
  <dcterms:created xsi:type="dcterms:W3CDTF">2012-01-03T18:11:30Z</dcterms:created>
  <dcterms:modified xsi:type="dcterms:W3CDTF">2014-07-09T18:28:39Z</dcterms:modified>
  <cp:category/>
  <cp:version/>
  <cp:contentType/>
  <cp:contentStatus/>
</cp:coreProperties>
</file>